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N:\TRADE SHOWS\2019\apex\Reports and Strategic Docs\"/>
    </mc:Choice>
  </mc:AlternateContent>
  <xr:revisionPtr revIDLastSave="0" documentId="13_ncr:1_{005BBC1C-D46F-480C-8558-DD797D2C6742}" xr6:coauthVersionLast="40" xr6:coauthVersionMax="40" xr10:uidLastSave="{00000000-0000-0000-0000-000000000000}"/>
  <bookViews>
    <workbookView xWindow="-3480" yWindow="-16320" windowWidth="29040" windowHeight="15840" activeTab="1" xr2:uid="{C8656026-CCAC-446C-B263-5E37A82E9793}"/>
  </bookViews>
  <sheets>
    <sheet name="Event Scorecard" sheetId="3" r:id="rId1"/>
    <sheet name="All Metrics" sheetId="1" r:id="rId2"/>
    <sheet name="Lists" sheetId="2" state="hidden" r:id="rId3"/>
  </sheets>
  <definedNames>
    <definedName name="_xlnm.Print_Area" localSheetId="1">'All Metrics'!$A$1:$Q$50</definedName>
    <definedName name="_xlnm.Print_Area" localSheetId="0">'Event Scorecard'!$A$1:$D$27</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1" l="1"/>
  <c r="J32" i="1"/>
  <c r="B21" i="1"/>
  <c r="B26" i="1"/>
  <c r="C40" i="1"/>
  <c r="F9" i="1"/>
  <c r="F7" i="1"/>
  <c r="F5" i="1"/>
  <c r="D5" i="1"/>
  <c r="C32" i="1"/>
  <c r="C33" i="1"/>
  <c r="C34" i="1"/>
  <c r="C35" i="1"/>
  <c r="C38" i="1"/>
  <c r="D9" i="1"/>
  <c r="C31" i="1"/>
  <c r="Q35" i="1"/>
  <c r="P35" i="1"/>
  <c r="O35" i="1"/>
  <c r="Q27" i="1"/>
  <c r="P27" i="1"/>
  <c r="Q36" i="1"/>
  <c r="D26" i="1"/>
  <c r="E26" i="1"/>
  <c r="D11" i="3"/>
  <c r="E19" i="1"/>
  <c r="E20" i="1"/>
  <c r="E21" i="1"/>
  <c r="E22" i="1"/>
  <c r="E23" i="1"/>
  <c r="E24" i="1"/>
  <c r="E25" i="1"/>
  <c r="B47" i="1"/>
  <c r="C47" i="1"/>
  <c r="D47" i="1"/>
  <c r="E47" i="1"/>
  <c r="F47" i="1"/>
  <c r="G47" i="1"/>
  <c r="H47" i="1"/>
  <c r="I47" i="1"/>
  <c r="J47" i="1"/>
  <c r="K47" i="1"/>
  <c r="L47" i="1"/>
  <c r="M47" i="1"/>
  <c r="N47" i="1"/>
  <c r="O47" i="1"/>
  <c r="P47" i="1"/>
  <c r="D25" i="3"/>
  <c r="B38" i="1"/>
  <c r="D18" i="3"/>
  <c r="D26" i="3"/>
  <c r="D22" i="3"/>
  <c r="D23" i="3"/>
  <c r="B39" i="1"/>
  <c r="D20" i="3"/>
  <c r="D19" i="3"/>
  <c r="J21" i="1"/>
  <c r="J22" i="1"/>
  <c r="C9" i="2"/>
  <c r="C14" i="2"/>
  <c r="J25" i="1"/>
  <c r="P48" i="1"/>
  <c r="P49" i="1"/>
  <c r="D27" i="3"/>
  <c r="D24" i="3"/>
  <c r="D16" i="3"/>
  <c r="K39" i="1"/>
  <c r="D21" i="3"/>
  <c r="K37" i="1"/>
  <c r="D15" i="3"/>
  <c r="D14" i="3"/>
  <c r="J34" i="1"/>
  <c r="D13" i="3"/>
  <c r="D8" i="3"/>
  <c r="D9" i="3"/>
  <c r="D10" i="3"/>
  <c r="P9" i="1"/>
  <c r="P11" i="1"/>
  <c r="P13" i="1"/>
  <c r="D6" i="3"/>
  <c r="G5" i="1"/>
  <c r="I5" i="1"/>
  <c r="G7" i="1"/>
  <c r="H7" i="1"/>
  <c r="I7" i="1"/>
  <c r="G9" i="1"/>
  <c r="I9" i="1"/>
  <c r="G11" i="1"/>
  <c r="I11" i="1"/>
  <c r="G13" i="1"/>
  <c r="I13" i="1"/>
  <c r="I15" i="1"/>
  <c r="D5" i="3"/>
  <c r="C48" i="1"/>
  <c r="C49" i="1"/>
  <c r="D48" i="1"/>
  <c r="D49" i="1"/>
  <c r="E48" i="1"/>
  <c r="E49" i="1"/>
  <c r="F48" i="1"/>
  <c r="F49" i="1"/>
  <c r="G48" i="1"/>
  <c r="G49" i="1"/>
  <c r="H48" i="1"/>
  <c r="H49" i="1"/>
  <c r="I48" i="1"/>
  <c r="I49" i="1"/>
  <c r="J48" i="1"/>
  <c r="J49" i="1"/>
  <c r="K48" i="1"/>
  <c r="K49" i="1"/>
  <c r="L48" i="1"/>
  <c r="L49" i="1"/>
  <c r="M48" i="1"/>
  <c r="M49" i="1"/>
  <c r="N48" i="1"/>
  <c r="N49" i="1"/>
  <c r="O48" i="1"/>
  <c r="O49" i="1"/>
  <c r="B48" i="1"/>
  <c r="B49" i="1"/>
  <c r="H3" i="1"/>
  <c r="C10" i="2"/>
  <c r="C11" i="2"/>
  <c r="C12" i="2"/>
  <c r="I45" i="1"/>
  <c r="C45" i="1"/>
  <c r="D45" i="1"/>
  <c r="E45" i="1"/>
  <c r="F45" i="1"/>
  <c r="G45" i="1"/>
  <c r="H45" i="1"/>
  <c r="J45" i="1"/>
  <c r="K45" i="1"/>
  <c r="L45" i="1"/>
  <c r="M45" i="1"/>
  <c r="N45" i="1"/>
  <c r="O45" i="1"/>
  <c r="P45" i="1"/>
  <c r="B45" i="1"/>
  <c r="C20" i="1"/>
  <c r="C21" i="1"/>
  <c r="C22" i="1"/>
  <c r="C23" i="1"/>
  <c r="C24" i="1"/>
  <c r="C25" i="1"/>
  <c r="C26" i="1"/>
  <c r="C19" i="1"/>
  <c r="D38" i="1"/>
  <c r="D32" i="1"/>
  <c r="D33" i="1"/>
  <c r="D34" i="1"/>
  <c r="D35" i="1"/>
  <c r="D31" i="1"/>
</calcChain>
</file>

<file path=xl/sharedStrings.xml><?xml version="1.0" encoding="utf-8"?>
<sst xmlns="http://schemas.openxmlformats.org/spreadsheetml/2006/main" count="187" uniqueCount="146">
  <si>
    <t>Show Services</t>
  </si>
  <si>
    <t>Travel</t>
  </si>
  <si>
    <t>Labor</t>
  </si>
  <si>
    <t>Marketing and Sponsorships</t>
  </si>
  <si>
    <t>Other</t>
  </si>
  <si>
    <t>Booth Space Reservation</t>
  </si>
  <si>
    <t>Shipping and Materials Handling</t>
  </si>
  <si>
    <t>Budget Category</t>
  </si>
  <si>
    <t>Total Spend</t>
  </si>
  <si>
    <t>Units</t>
  </si>
  <si>
    <t>Target</t>
  </si>
  <si>
    <t>Actual</t>
  </si>
  <si>
    <t>ROO</t>
  </si>
  <si>
    <t>$</t>
  </si>
  <si>
    <t>#</t>
  </si>
  <si>
    <t>Count</t>
  </si>
  <si>
    <t>Total Value</t>
  </si>
  <si>
    <t>Lead Generation</t>
  </si>
  <si>
    <t>Discarded</t>
  </si>
  <si>
    <t>Booth Engagement</t>
  </si>
  <si>
    <t>% of Total</t>
  </si>
  <si>
    <t>Event date</t>
  </si>
  <si>
    <t>Days since event</t>
  </si>
  <si>
    <t>Event-related revenue</t>
  </si>
  <si>
    <t>Cumulative event revenue</t>
  </si>
  <si>
    <t>leads</t>
  </si>
  <si>
    <t>contacts</t>
  </si>
  <si>
    <t>Weight</t>
  </si>
  <si>
    <t>Event Marketing ROI Calculator</t>
  </si>
  <si>
    <t>Description of Objective</t>
  </si>
  <si>
    <t>% to Target</t>
  </si>
  <si>
    <t>Event Spending</t>
  </si>
  <si>
    <t>Budgeted</t>
  </si>
  <si>
    <t>Budget Delta</t>
  </si>
  <si>
    <t>(1) Complex</t>
  </si>
  <si>
    <t>(2) Moderate</t>
  </si>
  <si>
    <t>(4) Basic</t>
  </si>
  <si>
    <t>(3) Limited</t>
  </si>
  <si>
    <t>Complexity Tier</t>
  </si>
  <si>
    <t>Project Start</t>
  </si>
  <si>
    <t>Cost to Execute Validations</t>
  </si>
  <si>
    <t>Tiers</t>
  </si>
  <si>
    <t>Hrs/Wk</t>
  </si>
  <si>
    <t>Show Length (Days)</t>
  </si>
  <si>
    <t>Headcount @ show</t>
  </si>
  <si>
    <t>COE Salary Data</t>
  </si>
  <si>
    <t>Coordinator or Specialist</t>
  </si>
  <si>
    <t>Manager</t>
  </si>
  <si>
    <t>Director</t>
  </si>
  <si>
    <t>None</t>
  </si>
  <si>
    <t>Estimated Planning Hours</t>
  </si>
  <si>
    <t>Event Manager Level</t>
  </si>
  <si>
    <t>Average Team Member Salary</t>
  </si>
  <si>
    <t>Project Length (Months)</t>
  </si>
  <si>
    <t>*COE uses publicly-available salary data and industry benchmarks to assign a dollar value to hours spent by show team members</t>
  </si>
  <si>
    <t>SPENDING TOTALS</t>
  </si>
  <si>
    <t>Total Visitors or Attendees to Booth</t>
  </si>
  <si>
    <t>TOTAL COST OF EXECUTION</t>
  </si>
  <si>
    <t>BOOTH ENGAGEMENT LEVEL</t>
  </si>
  <si>
    <t>CUMULATIVE ROO</t>
  </si>
  <si>
    <t>Lead Priority or Rank</t>
  </si>
  <si>
    <t>P0</t>
  </si>
  <si>
    <t>P1</t>
  </si>
  <si>
    <t>P2</t>
  </si>
  <si>
    <t>P3</t>
  </si>
  <si>
    <t>P4</t>
  </si>
  <si>
    <t>Avg. Value</t>
  </si>
  <si>
    <t>SALES QUALIFIED TOTALS</t>
  </si>
  <si>
    <t>MARKETING QUALIFIED TOTALS</t>
  </si>
  <si>
    <t>ROI: PIPELINE</t>
  </si>
  <si>
    <t>Revenue report date</t>
  </si>
  <si>
    <t>Unranked (MQL)</t>
  </si>
  <si>
    <t>Total show attendees</t>
  </si>
  <si>
    <t>TOTAL REACH</t>
  </si>
  <si>
    <t>Competitor 2</t>
  </si>
  <si>
    <t>Competitor 3</t>
  </si>
  <si>
    <t>Sponsorship</t>
  </si>
  <si>
    <t>Booth</t>
  </si>
  <si>
    <t>Advertising</t>
  </si>
  <si>
    <t>Us</t>
  </si>
  <si>
    <t>Activity Level</t>
  </si>
  <si>
    <t>Area of Presence</t>
  </si>
  <si>
    <t>Competitive Analysis</t>
  </si>
  <si>
    <t>(3) High</t>
  </si>
  <si>
    <t>(1) Low</t>
  </si>
  <si>
    <t>(0) NA</t>
  </si>
  <si>
    <t>COMPETITIVE POSITIONING INDEX**</t>
  </si>
  <si>
    <t>**Competitive Positioning Index measures our presence at the event relative to that of competitors by assigning a numerical value to the level of participation in each category above.  The CPI range Is 0% (no perceived advantage or disadvantage versus competitors) to +/- 100% (no competition present/extremely poor versus competition).</t>
  </si>
  <si>
    <t>ROI: REVENUE ($)</t>
  </si>
  <si>
    <t>ROI: REVENUE (%)</t>
  </si>
  <si>
    <t>Revenue Creation</t>
  </si>
  <si>
    <t>Cost to Execute (COE)*</t>
  </si>
  <si>
    <t>Return on Objectives (ROO)</t>
  </si>
  <si>
    <t>Brand Awareness and Exposure</t>
  </si>
  <si>
    <t>Number of direct competitors present</t>
  </si>
  <si>
    <t>Competitive Activity Assessment</t>
  </si>
  <si>
    <t>Competitor 4</t>
  </si>
  <si>
    <t>Competitor 5</t>
  </si>
  <si>
    <t>CUMULATIVE CPI</t>
  </si>
  <si>
    <t>Sales-Related Exposure Metrics</t>
  </si>
  <si>
    <t>Quantity</t>
  </si>
  <si>
    <t>Return on Event (ROE)†</t>
  </si>
  <si>
    <t>Internal Net Promoter Score (Pre-Event)</t>
  </si>
  <si>
    <t>Internal Net Promoter Score (Post-Event)</t>
  </si>
  <si>
    <t>Promoters (9+)</t>
  </si>
  <si>
    <t>NPS</t>
  </si>
  <si>
    <t>NPS CHANGE</t>
  </si>
  <si>
    <r>
      <rPr>
        <sz val="9"/>
        <color theme="0" tint="-0.34998626667073579"/>
        <rFont val="Calibri"/>
        <family val="2"/>
      </rPr>
      <t>†</t>
    </r>
    <r>
      <rPr>
        <i/>
        <sz val="9"/>
        <color theme="0" tint="-0.34998626667073579"/>
        <rFont val="Calibri"/>
        <family val="2"/>
      </rPr>
      <t>ROE measures qualitative perceptions and feelings about the event.  In this case it is used to measure the supporting team's assessment of the event using the Net Promoter Score (NPS) scale from +100 to -100</t>
    </r>
  </si>
  <si>
    <t>Qualified leads that are new contacts in our DB (vs. total leads)</t>
  </si>
  <si>
    <t>Existing customers or opportunities engaged (vs. total booth visitors)</t>
  </si>
  <si>
    <t>Neutrals (7-8)</t>
  </si>
  <si>
    <t>Detractors (&lt;6)</t>
  </si>
  <si>
    <t>N/A</t>
  </si>
  <si>
    <t>Return On Objectives (ROO)</t>
  </si>
  <si>
    <t>General</t>
  </si>
  <si>
    <t>Spending</t>
  </si>
  <si>
    <t>Budget Accuracy</t>
  </si>
  <si>
    <t>Cost To Execute</t>
  </si>
  <si>
    <t>Total Expenses</t>
  </si>
  <si>
    <t>Total Cost</t>
  </si>
  <si>
    <t>Branding and Awareness</t>
  </si>
  <si>
    <t>Total Reach</t>
  </si>
  <si>
    <t>New Lead Generation (% of total)</t>
  </si>
  <si>
    <t>Existing Opportunity Engagement</t>
  </si>
  <si>
    <t>Competitive Positioning Index</t>
  </si>
  <si>
    <t>Sales and Revenue</t>
  </si>
  <si>
    <t>Total Leads Generated</t>
  </si>
  <si>
    <t>Generated Pipeline</t>
  </si>
  <si>
    <t>ROI: Pipeline</t>
  </si>
  <si>
    <t>ROI: Revenue</t>
  </si>
  <si>
    <t>Event Summary Scorecard</t>
  </si>
  <si>
    <t>Pipeline per lead</t>
  </si>
  <si>
    <t>Revenue per lead</t>
  </si>
  <si>
    <t>Generated Revenue (Cumulative)</t>
  </si>
  <si>
    <t>Sales Qualified Leads</t>
  </si>
  <si>
    <t>Marketing Qualified Leads</t>
  </si>
  <si>
    <t>Sales qualified leads generation</t>
  </si>
  <si>
    <t>Marketing qualified leads generation</t>
  </si>
  <si>
    <t>Pipeline creation</t>
  </si>
  <si>
    <t>Workshops and task groups attended</t>
  </si>
  <si>
    <t>Thought Leadership</t>
  </si>
  <si>
    <t>Product Demos or Qualifying Conversations</t>
  </si>
  <si>
    <t>Potential Value by Lead Category</t>
  </si>
  <si>
    <t>Kyzen</t>
  </si>
  <si>
    <t>Return On Event (ROE) vis a vis NPS</t>
  </si>
  <si>
    <t>Total lead capture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</si>
</sst>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409]* #,##0.00_);_([$$-409]* \(#,##0.00\);_([$$-409]* &quot;-&quot;??_);_(@_)"/>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0" tint="-0.249977111117893"/>
      <name val="Calibri"/>
      <family val="2"/>
      <scheme val="minor"/>
    </font>
    <font>
      <sz val="9"/>
      <color theme="0" tint="-0.249977111117893"/>
      <name val="Calibri"/>
      <family val="2"/>
      <scheme val="minor"/>
    </font>
    <font>
      <b/>
      <sz val="18"/>
      <color theme="1"/>
      <name val="Calibri"/>
      <family val="2"/>
      <scheme val="minor"/>
    </font>
    <font>
      <i/>
      <sz val="9"/>
      <color theme="0" tint="-0.34998626667073579"/>
      <name val="Calibri"/>
      <family val="2"/>
      <scheme val="minor"/>
    </font>
    <font>
      <sz val="9"/>
      <color theme="0" tint="-0.34998626667073579"/>
      <name val="Calibri"/>
      <family val="2"/>
    </font>
    <font>
      <i/>
      <sz val="9"/>
      <color theme="0" tint="-0.34998626667073579"/>
      <name val="Calibri"/>
      <family val="2"/>
    </font>
    <font>
      <i/>
      <sz val="9"/>
      <color theme="0" tint="-0.249977111117893"/>
      <name val="Calibri"/>
      <family val="2"/>
      <scheme val="minor"/>
    </font>
    <font>
      <sz val="11"/>
      <name val="Calibri"/>
      <family val="2"/>
      <scheme val="minor"/>
    </font>
    <font>
      <b/>
      <sz val="11"/>
      <name val="Calibri"/>
      <family val="2"/>
      <scheme val="minor"/>
    </font>
    <font>
      <sz val="11"/>
      <color rgb="FF009FE3"/>
      <name val="Calibri"/>
      <family val="2"/>
      <scheme val="minor"/>
    </font>
    <font>
      <b/>
      <sz val="11"/>
      <color rgb="FF009FE3"/>
      <name val="Calibri"/>
      <family val="2"/>
      <scheme val="minor"/>
    </font>
  </fonts>
  <fills count="7">
    <fill>
      <patternFill patternType="none"/>
    </fill>
    <fill>
      <patternFill patternType="gray125"/>
    </fill>
    <fill>
      <patternFill patternType="solid">
        <fgColor rgb="FFFFFF00"/>
        <bgColor indexed="64"/>
      </patternFill>
    </fill>
    <fill>
      <patternFill patternType="lightDown">
        <bgColor auto="1"/>
      </patternFill>
    </fill>
    <fill>
      <patternFill patternType="solid">
        <fgColor theme="0" tint="-4.9989318521683403E-2"/>
        <bgColor indexed="64"/>
      </patternFill>
    </fill>
    <fill>
      <patternFill patternType="solid">
        <fgColor rgb="FF27348B"/>
        <bgColor indexed="64"/>
      </patternFill>
    </fill>
    <fill>
      <patternFill patternType="solid">
        <fgColor theme="9" tint="0.399975585192419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27">
    <xf numFmtId="0" fontId="0" fillId="0" borderId="0" xfId="0"/>
    <xf numFmtId="0" fontId="3" fillId="0" borderId="0" xfId="0" applyFont="1"/>
    <xf numFmtId="44" fontId="0" fillId="0" borderId="0" xfId="2" applyFont="1"/>
    <xf numFmtId="10" fontId="0" fillId="0" borderId="0" xfId="3" applyNumberFormat="1" applyFont="1"/>
    <xf numFmtId="0" fontId="0" fillId="0" borderId="0" xfId="0" quotePrefix="1"/>
    <xf numFmtId="44" fontId="0" fillId="0" borderId="0" xfId="0" applyNumberFormat="1"/>
    <xf numFmtId="6" fontId="0" fillId="0" borderId="0" xfId="0" applyNumberFormat="1"/>
    <xf numFmtId="8" fontId="0" fillId="0" borderId="0" xfId="0" applyNumberFormat="1"/>
    <xf numFmtId="0" fontId="0" fillId="0" borderId="0" xfId="0" applyProtection="1">
      <protection locked="0"/>
    </xf>
    <xf numFmtId="0" fontId="0" fillId="0" borderId="1" xfId="0" applyBorder="1" applyProtection="1">
      <protection locked="0"/>
    </xf>
    <xf numFmtId="44" fontId="0" fillId="0" borderId="1" xfId="2" applyFont="1" applyBorder="1" applyProtection="1">
      <protection locked="0"/>
    </xf>
    <xf numFmtId="43" fontId="0" fillId="0" borderId="0" xfId="1" applyFont="1" applyProtection="1">
      <protection locked="0"/>
    </xf>
    <xf numFmtId="0" fontId="0" fillId="0" borderId="1" xfId="0" applyBorder="1" applyAlignment="1" applyProtection="1">
      <alignment horizontal="left"/>
      <protection locked="0"/>
    </xf>
    <xf numFmtId="43" fontId="1" fillId="0" borderId="1" xfId="1" applyFont="1" applyFill="1" applyBorder="1" applyProtection="1">
      <protection locked="0"/>
    </xf>
    <xf numFmtId="14" fontId="0" fillId="0" borderId="1" xfId="0" applyNumberFormat="1" applyBorder="1" applyProtection="1">
      <protection locked="0"/>
    </xf>
    <xf numFmtId="0" fontId="6" fillId="0" borderId="0" xfId="0" quotePrefix="1" applyFont="1" applyBorder="1" applyAlignment="1" applyProtection="1">
      <alignment wrapText="1"/>
      <protection locked="0"/>
    </xf>
    <xf numFmtId="0" fontId="0" fillId="0" borderId="0" xfId="0" applyFill="1" applyBorder="1" applyProtection="1">
      <protection locked="0"/>
    </xf>
    <xf numFmtId="43" fontId="0" fillId="0" borderId="0" xfId="1" applyFont="1" applyFill="1" applyBorder="1" applyAlignment="1" applyProtection="1">
      <protection locked="0"/>
    </xf>
    <xf numFmtId="0" fontId="0" fillId="0" borderId="1" xfId="1" applyNumberFormat="1" applyFont="1" applyBorder="1" applyAlignment="1" applyProtection="1">
      <alignment horizontal="left"/>
      <protection locked="0"/>
    </xf>
    <xf numFmtId="0" fontId="0" fillId="0" borderId="1" xfId="0" applyNumberFormat="1" applyBorder="1" applyAlignment="1" applyProtection="1">
      <alignment horizontal="left"/>
      <protection locked="0"/>
    </xf>
    <xf numFmtId="9" fontId="0" fillId="0" borderId="0" xfId="3" applyFont="1" applyProtection="1">
      <protection locked="0"/>
    </xf>
    <xf numFmtId="10" fontId="0" fillId="0" borderId="0" xfId="0" applyNumberFormat="1" applyProtection="1">
      <protection locked="0"/>
    </xf>
    <xf numFmtId="0" fontId="3" fillId="4" borderId="1" xfId="0" applyFont="1" applyFill="1" applyBorder="1" applyAlignment="1" applyProtection="1">
      <alignment horizontal="center"/>
      <protection locked="0"/>
    </xf>
    <xf numFmtId="0" fontId="0" fillId="0" borderId="17" xfId="0" applyBorder="1" applyProtection="1">
      <protection locked="0"/>
    </xf>
    <xf numFmtId="0" fontId="0" fillId="0" borderId="19" xfId="0" applyBorder="1" applyAlignment="1" applyProtection="1">
      <alignment horizontal="left"/>
      <protection locked="0"/>
    </xf>
    <xf numFmtId="0" fontId="0" fillId="0" borderId="20" xfId="0" applyBorder="1" applyProtection="1">
      <protection locked="0"/>
    </xf>
    <xf numFmtId="0" fontId="0" fillId="0" borderId="21" xfId="0" applyBorder="1" applyProtection="1">
      <protection locked="0"/>
    </xf>
    <xf numFmtId="0" fontId="3" fillId="0" borderId="30" xfId="0" applyFont="1" applyBorder="1" applyAlignment="1" applyProtection="1">
      <protection locked="0"/>
    </xf>
    <xf numFmtId="0" fontId="0" fillId="4" borderId="16" xfId="0" applyFill="1" applyBorder="1" applyProtection="1">
      <protection locked="0"/>
    </xf>
    <xf numFmtId="0" fontId="0" fillId="0" borderId="16" xfId="0" applyBorder="1" applyAlignment="1" applyProtection="1">
      <alignment horizontal="left"/>
      <protection locked="0"/>
    </xf>
    <xf numFmtId="44" fontId="0" fillId="0" borderId="19" xfId="2" applyFont="1" applyBorder="1" applyProtection="1">
      <protection locked="0"/>
    </xf>
    <xf numFmtId="0" fontId="2" fillId="5" borderId="13" xfId="0" applyFont="1" applyFill="1" applyBorder="1" applyProtection="1">
      <protection locked="0"/>
    </xf>
    <xf numFmtId="0" fontId="4" fillId="5" borderId="14" xfId="0" applyFont="1" applyFill="1" applyBorder="1" applyProtection="1">
      <protection locked="0"/>
    </xf>
    <xf numFmtId="0" fontId="4" fillId="5" borderId="15" xfId="0" applyFont="1" applyFill="1" applyBorder="1" applyProtection="1">
      <protection locked="0"/>
    </xf>
    <xf numFmtId="0" fontId="2" fillId="5" borderId="14" xfId="0" applyFont="1" applyFill="1" applyBorder="1" applyAlignment="1" applyProtection="1">
      <protection locked="0"/>
    </xf>
    <xf numFmtId="0" fontId="2" fillId="5" borderId="14" xfId="0" applyFont="1" applyFill="1" applyBorder="1" applyProtection="1">
      <protection locked="0"/>
    </xf>
    <xf numFmtId="0" fontId="7" fillId="0" borderId="0" xfId="0" applyFont="1" applyProtection="1"/>
    <xf numFmtId="0" fontId="0" fillId="0" borderId="0" xfId="0" applyProtection="1"/>
    <xf numFmtId="0" fontId="0" fillId="5" borderId="14" xfId="0" applyFill="1" applyBorder="1" applyProtection="1"/>
    <xf numFmtId="9" fontId="5" fillId="5" borderId="14" xfId="0" applyNumberFormat="1" applyFont="1" applyFill="1" applyBorder="1" applyProtection="1"/>
    <xf numFmtId="0" fontId="0" fillId="5" borderId="15" xfId="0" applyFill="1" applyBorder="1" applyProtection="1"/>
    <xf numFmtId="0" fontId="3" fillId="4" borderId="1" xfId="0" applyFont="1" applyFill="1" applyBorder="1" applyAlignment="1" applyProtection="1">
      <alignment horizontal="center"/>
    </xf>
    <xf numFmtId="0" fontId="3" fillId="4" borderId="19" xfId="0" applyFont="1" applyFill="1" applyBorder="1" applyAlignment="1" applyProtection="1">
      <alignment horizontal="center"/>
    </xf>
    <xf numFmtId="0" fontId="0" fillId="0" borderId="0" xfId="0" applyBorder="1" applyAlignment="1" applyProtection="1"/>
    <xf numFmtId="0" fontId="0" fillId="0" borderId="18" xfId="0" applyBorder="1" applyAlignment="1" applyProtection="1"/>
    <xf numFmtId="0" fontId="0" fillId="0" borderId="18" xfId="0" applyBorder="1" applyProtection="1"/>
    <xf numFmtId="0" fontId="0" fillId="0" borderId="0" xfId="0" applyBorder="1" applyProtection="1"/>
    <xf numFmtId="0" fontId="3" fillId="4" borderId="16" xfId="0" applyFont="1" applyFill="1" applyBorder="1" applyProtection="1"/>
    <xf numFmtId="10" fontId="0" fillId="0" borderId="19" xfId="3" applyNumberFormat="1" applyFont="1" applyFill="1" applyBorder="1" applyProtection="1"/>
    <xf numFmtId="10" fontId="3" fillId="2" borderId="32" xfId="3" applyNumberFormat="1" applyFont="1" applyFill="1" applyBorder="1" applyProtection="1"/>
    <xf numFmtId="0" fontId="3" fillId="0" borderId="33" xfId="0" applyFont="1" applyFill="1" applyBorder="1" applyAlignment="1" applyProtection="1">
      <alignment horizontal="left"/>
    </xf>
    <xf numFmtId="0" fontId="2" fillId="5" borderId="13" xfId="0" applyFont="1" applyFill="1" applyBorder="1" applyProtection="1"/>
    <xf numFmtId="0" fontId="4" fillId="5" borderId="14" xfId="0" applyFont="1" applyFill="1" applyBorder="1" applyProtection="1"/>
    <xf numFmtId="0" fontId="4" fillId="5" borderId="15" xfId="0" applyFont="1" applyFill="1" applyBorder="1" applyProtection="1"/>
    <xf numFmtId="10" fontId="14" fillId="0" borderId="1" xfId="3" applyNumberFormat="1" applyFont="1" applyFill="1" applyBorder="1" applyProtection="1"/>
    <xf numFmtId="10" fontId="15" fillId="0" borderId="31" xfId="3" applyNumberFormat="1" applyFont="1" applyFill="1" applyBorder="1" applyProtection="1"/>
    <xf numFmtId="164" fontId="15" fillId="0" borderId="31" xfId="0" applyNumberFormat="1" applyFont="1" applyFill="1" applyBorder="1" applyProtection="1"/>
    <xf numFmtId="44" fontId="15" fillId="0" borderId="31" xfId="2" applyFont="1" applyFill="1" applyBorder="1" applyProtection="1"/>
    <xf numFmtId="10" fontId="15" fillId="2" borderId="32" xfId="0" applyNumberFormat="1" applyFont="1" applyFill="1" applyBorder="1" applyProtection="1"/>
    <xf numFmtId="2" fontId="15" fillId="2" borderId="19" xfId="0" applyNumberFormat="1" applyFont="1" applyFill="1" applyBorder="1" applyProtection="1"/>
    <xf numFmtId="0" fontId="0" fillId="0" borderId="17" xfId="0" applyBorder="1" applyProtection="1"/>
    <xf numFmtId="0" fontId="3" fillId="0" borderId="18" xfId="0" applyFont="1" applyBorder="1" applyProtection="1"/>
    <xf numFmtId="0" fontId="3" fillId="4" borderId="1" xfId="0" quotePrefix="1" applyFont="1" applyFill="1" applyBorder="1" applyAlignment="1" applyProtection="1">
      <alignment horizontal="center"/>
    </xf>
    <xf numFmtId="43" fontId="3" fillId="4" borderId="1" xfId="0" applyNumberFormat="1" applyFont="1" applyFill="1" applyBorder="1" applyAlignment="1" applyProtection="1">
      <alignment horizontal="center"/>
    </xf>
    <xf numFmtId="0" fontId="2" fillId="5" borderId="13" xfId="0" applyFont="1" applyFill="1" applyBorder="1" applyAlignment="1" applyProtection="1"/>
    <xf numFmtId="0" fontId="4" fillId="5" borderId="14" xfId="0" applyFont="1" applyFill="1" applyBorder="1" applyAlignment="1" applyProtection="1"/>
    <xf numFmtId="0" fontId="4" fillId="5" borderId="15" xfId="0" applyFont="1" applyFill="1" applyBorder="1" applyAlignment="1" applyProtection="1"/>
    <xf numFmtId="0" fontId="3" fillId="4" borderId="16" xfId="0" applyFont="1" applyFill="1" applyBorder="1" applyAlignment="1" applyProtection="1">
      <alignment horizontal="center"/>
    </xf>
    <xf numFmtId="0" fontId="0" fillId="0" borderId="16" xfId="0" applyFont="1" applyBorder="1" applyAlignment="1" applyProtection="1">
      <alignment horizontal="left"/>
    </xf>
    <xf numFmtId="0" fontId="0" fillId="0" borderId="16" xfId="0" applyFont="1" applyFill="1" applyBorder="1" applyAlignment="1" applyProtection="1">
      <alignment horizontal="left"/>
    </xf>
    <xf numFmtId="0" fontId="3" fillId="4" borderId="16" xfId="0" applyFont="1" applyFill="1" applyBorder="1" applyAlignment="1" applyProtection="1">
      <alignment horizontal="left"/>
    </xf>
    <xf numFmtId="0" fontId="3" fillId="4" borderId="33" xfId="0" applyFont="1" applyFill="1" applyBorder="1" applyProtection="1"/>
    <xf numFmtId="0" fontId="0" fillId="3" borderId="22" xfId="0" applyFill="1" applyBorder="1" applyAlignment="1" applyProtection="1"/>
    <xf numFmtId="44" fontId="14" fillId="4" borderId="19" xfId="2" applyFont="1" applyFill="1" applyBorder="1" applyProtection="1"/>
    <xf numFmtId="43" fontId="15" fillId="2" borderId="1" xfId="1" applyFont="1" applyFill="1" applyBorder="1" applyProtection="1"/>
    <xf numFmtId="44" fontId="15" fillId="2" borderId="1" xfId="2" applyFont="1" applyFill="1" applyBorder="1" applyProtection="1"/>
    <xf numFmtId="44" fontId="15" fillId="2" borderId="19" xfId="2" applyFont="1" applyFill="1" applyBorder="1" applyProtection="1"/>
    <xf numFmtId="43" fontId="15" fillId="2" borderId="1" xfId="0" applyNumberFormat="1" applyFont="1" applyFill="1" applyBorder="1" applyProtection="1"/>
    <xf numFmtId="44" fontId="15" fillId="2" borderId="39" xfId="2" applyNumberFormat="1" applyFont="1" applyFill="1" applyBorder="1" applyProtection="1"/>
    <xf numFmtId="10" fontId="15" fillId="2" borderId="31" xfId="3" applyNumberFormat="1" applyFont="1" applyFill="1" applyBorder="1" applyProtection="1"/>
    <xf numFmtId="10" fontId="15" fillId="2" borderId="1" xfId="3" applyNumberFormat="1" applyFont="1" applyFill="1" applyBorder="1" applyAlignment="1" applyProtection="1"/>
    <xf numFmtId="0" fontId="0" fillId="4" borderId="16" xfId="0" applyFill="1" applyBorder="1" applyProtection="1"/>
    <xf numFmtId="43" fontId="14" fillId="0" borderId="1" xfId="1" applyFont="1" applyFill="1" applyBorder="1" applyProtection="1"/>
    <xf numFmtId="43" fontId="14" fillId="0" borderId="19" xfId="1" applyFont="1" applyFill="1" applyBorder="1" applyProtection="1"/>
    <xf numFmtId="14" fontId="14" fillId="0" borderId="1" xfId="0" applyNumberFormat="1" applyFont="1" applyFill="1" applyBorder="1" applyProtection="1"/>
    <xf numFmtId="14" fontId="14" fillId="0" borderId="19" xfId="0" applyNumberFormat="1" applyFont="1" applyFill="1" applyBorder="1" applyProtection="1"/>
    <xf numFmtId="44" fontId="14" fillId="0" borderId="1" xfId="0" applyNumberFormat="1" applyFont="1" applyFill="1" applyBorder="1" applyProtection="1"/>
    <xf numFmtId="44" fontId="14" fillId="0" borderId="19" xfId="0" applyNumberFormat="1" applyFont="1" applyFill="1" applyBorder="1" applyProtection="1"/>
    <xf numFmtId="44" fontId="15" fillId="2" borderId="1" xfId="0" applyNumberFormat="1" applyFont="1" applyFill="1" applyBorder="1" applyProtection="1"/>
    <xf numFmtId="44" fontId="15" fillId="2" borderId="19" xfId="0" applyNumberFormat="1" applyFont="1" applyFill="1" applyBorder="1" applyProtection="1"/>
    <xf numFmtId="10" fontId="15" fillId="2" borderId="32" xfId="3" applyNumberFormat="1" applyFont="1" applyFill="1" applyBorder="1" applyProtection="1"/>
    <xf numFmtId="0" fontId="12" fillId="0" borderId="0" xfId="0" applyFont="1" applyProtection="1"/>
    <xf numFmtId="0" fontId="12" fillId="0" borderId="0" xfId="0" applyFont="1"/>
    <xf numFmtId="10" fontId="13" fillId="0" borderId="1" xfId="0" applyNumberFormat="1" applyFont="1" applyBorder="1"/>
    <xf numFmtId="2" fontId="13" fillId="0" borderId="1" xfId="0" applyNumberFormat="1" applyFont="1" applyBorder="1"/>
    <xf numFmtId="44" fontId="13" fillId="0" borderId="1" xfId="2" applyFont="1" applyBorder="1"/>
    <xf numFmtId="43" fontId="13" fillId="0" borderId="1" xfId="0" applyNumberFormat="1" applyFont="1" applyBorder="1"/>
    <xf numFmtId="44" fontId="13" fillId="0" borderId="1" xfId="0" applyNumberFormat="1" applyFont="1" applyBorder="1"/>
    <xf numFmtId="10" fontId="15" fillId="0" borderId="27" xfId="3" applyNumberFormat="1" applyFont="1" applyFill="1" applyBorder="1" applyAlignment="1" applyProtection="1"/>
    <xf numFmtId="10" fontId="15" fillId="0" borderId="29" xfId="3" applyNumberFormat="1" applyFont="1" applyFill="1" applyBorder="1" applyAlignment="1" applyProtection="1"/>
    <xf numFmtId="0" fontId="0" fillId="0" borderId="2" xfId="0" applyBorder="1" applyAlignment="1" applyProtection="1">
      <alignment horizontal="left"/>
      <protection locked="0"/>
    </xf>
    <xf numFmtId="0" fontId="0" fillId="0" borderId="27" xfId="0" applyBorder="1" applyAlignment="1" applyProtection="1">
      <alignment horizontal="left"/>
      <protection locked="0"/>
    </xf>
    <xf numFmtId="10" fontId="15" fillId="2" borderId="29" xfId="3" applyNumberFormat="1" applyFont="1" applyFill="1" applyBorder="1" applyProtection="1"/>
    <xf numFmtId="10" fontId="15" fillId="0" borderId="2" xfId="3" applyNumberFormat="1" applyFont="1" applyFill="1" applyBorder="1" applyAlignment="1" applyProtection="1"/>
    <xf numFmtId="10" fontId="15" fillId="0" borderId="5" xfId="3" applyNumberFormat="1" applyFont="1" applyFill="1" applyBorder="1" applyAlignment="1" applyProtection="1"/>
    <xf numFmtId="44" fontId="0" fillId="0" borderId="1" xfId="2" applyFont="1" applyBorder="1"/>
    <xf numFmtId="0" fontId="3" fillId="0" borderId="1" xfId="1" applyNumberFormat="1"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1" xfId="0" applyNumberFormat="1" applyFont="1" applyBorder="1" applyAlignment="1" applyProtection="1">
      <alignment horizontal="left"/>
      <protection locked="0"/>
    </xf>
    <xf numFmtId="0" fontId="3" fillId="0" borderId="2" xfId="0" applyFont="1" applyBorder="1" applyAlignment="1" applyProtection="1">
      <alignment horizontal="left"/>
      <protection locked="0"/>
    </xf>
    <xf numFmtId="43" fontId="3" fillId="0" borderId="1" xfId="1" applyFont="1" applyFill="1" applyBorder="1" applyAlignment="1" applyProtection="1">
      <protection locked="0"/>
    </xf>
    <xf numFmtId="164" fontId="3" fillId="0" borderId="1" xfId="2" applyNumberFormat="1" applyFont="1" applyBorder="1" applyProtection="1">
      <protection locked="0"/>
    </xf>
    <xf numFmtId="43" fontId="3" fillId="0" borderId="1" xfId="1" applyFont="1" applyBorder="1" applyProtection="1">
      <protection locked="0"/>
    </xf>
    <xf numFmtId="43" fontId="13" fillId="0" borderId="1" xfId="1" applyFont="1" applyBorder="1" applyProtection="1">
      <protection locked="0"/>
    </xf>
    <xf numFmtId="164" fontId="12" fillId="0" borderId="1" xfId="2" applyNumberFormat="1" applyFont="1" applyBorder="1" applyProtection="1">
      <protection locked="0"/>
    </xf>
    <xf numFmtId="0" fontId="0" fillId="0" borderId="1" xfId="0" applyBorder="1" applyAlignment="1">
      <alignment horizontal="left"/>
    </xf>
    <xf numFmtId="0" fontId="0" fillId="0" borderId="1" xfId="0" applyBorder="1" applyAlignment="1"/>
    <xf numFmtId="0" fontId="2" fillId="5" borderId="1" xfId="0" applyFont="1" applyFill="1" applyBorder="1" applyAlignment="1" applyProtection="1">
      <alignment horizontal="left"/>
    </xf>
    <xf numFmtId="0" fontId="13" fillId="4" borderId="3" xfId="0" applyFont="1" applyFill="1" applyBorder="1" applyAlignment="1" applyProtection="1">
      <alignment horizontal="left"/>
    </xf>
    <xf numFmtId="0" fontId="13" fillId="4" borderId="6" xfId="0" applyFont="1" applyFill="1" applyBorder="1" applyAlignment="1" applyProtection="1">
      <alignment horizontal="left"/>
    </xf>
    <xf numFmtId="0" fontId="13" fillId="4" borderId="4" xfId="0" applyFont="1" applyFill="1" applyBorder="1" applyAlignment="1" applyProtection="1">
      <alignment horizontal="left"/>
    </xf>
    <xf numFmtId="0" fontId="13" fillId="4" borderId="1" xfId="0" applyFont="1" applyFill="1" applyBorder="1" applyAlignment="1" applyProtection="1">
      <alignment horizontal="left"/>
    </xf>
    <xf numFmtId="0" fontId="0" fillId="0" borderId="3" xfId="0" applyBorder="1" applyAlignment="1"/>
    <xf numFmtId="0" fontId="0" fillId="0" borderId="6" xfId="0" applyBorder="1" applyAlignment="1"/>
    <xf numFmtId="0" fontId="0" fillId="0" borderId="4" xfId="0" applyBorder="1" applyAlignment="1"/>
    <xf numFmtId="0" fontId="0" fillId="0" borderId="1" xfId="0" applyBorder="1" applyAlignment="1" applyProtection="1">
      <alignment horizontal="right"/>
      <protection locked="0"/>
    </xf>
    <xf numFmtId="0" fontId="0" fillId="0" borderId="1" xfId="0" applyBorder="1" applyAlignment="1" applyProtection="1">
      <alignment horizontal="center"/>
      <protection locked="0"/>
    </xf>
    <xf numFmtId="10" fontId="14" fillId="0" borderId="1" xfId="3" applyNumberFormat="1" applyFont="1" applyFill="1" applyBorder="1" applyAlignment="1" applyProtection="1">
      <alignment horizontal="right"/>
    </xf>
    <xf numFmtId="0" fontId="3" fillId="6" borderId="1" xfId="0" applyFont="1" applyFill="1" applyBorder="1" applyAlignment="1" applyProtection="1">
      <alignment horizontal="right"/>
      <protection locked="0"/>
    </xf>
    <xf numFmtId="0" fontId="0" fillId="4" borderId="16" xfId="0" applyFill="1" applyBorder="1" applyAlignment="1" applyProtection="1">
      <alignment horizontal="left"/>
    </xf>
    <xf numFmtId="0" fontId="0" fillId="4" borderId="1" xfId="0" applyFill="1" applyBorder="1" applyAlignment="1" applyProtection="1">
      <alignment horizontal="left"/>
    </xf>
    <xf numFmtId="0" fontId="11" fillId="0" borderId="18" xfId="0" quotePrefix="1" applyFont="1" applyBorder="1" applyAlignment="1" applyProtection="1">
      <alignment horizontal="left" vertical="top" wrapText="1"/>
    </xf>
    <xf numFmtId="0" fontId="11" fillId="0" borderId="0" xfId="0" quotePrefix="1" applyFont="1" applyBorder="1" applyAlignment="1" applyProtection="1">
      <alignment horizontal="left" vertical="top" wrapText="1"/>
    </xf>
    <xf numFmtId="0" fontId="11" fillId="0" borderId="17" xfId="0" quotePrefix="1" applyFont="1" applyBorder="1" applyAlignment="1" applyProtection="1">
      <alignment horizontal="left" vertical="top" wrapText="1"/>
    </xf>
    <xf numFmtId="0" fontId="11" fillId="0" borderId="20" xfId="0" quotePrefix="1" applyFont="1" applyBorder="1" applyAlignment="1" applyProtection="1">
      <alignment horizontal="left" vertical="top" wrapText="1"/>
    </xf>
    <xf numFmtId="0" fontId="11" fillId="0" borderId="21" xfId="0" quotePrefix="1" applyFont="1" applyBorder="1" applyAlignment="1" applyProtection="1">
      <alignment horizontal="left" vertical="top" wrapText="1"/>
    </xf>
    <xf numFmtId="0" fontId="11" fillId="0" borderId="22" xfId="0" quotePrefix="1" applyFont="1" applyBorder="1" applyAlignment="1" applyProtection="1">
      <alignment horizontal="left" vertical="top" wrapText="1"/>
    </xf>
    <xf numFmtId="10" fontId="14" fillId="0" borderId="27" xfId="3" applyNumberFormat="1" applyFont="1" applyFill="1" applyBorder="1" applyAlignment="1" applyProtection="1">
      <alignment horizontal="center"/>
    </xf>
    <xf numFmtId="10" fontId="14" fillId="0" borderId="29" xfId="3" applyNumberFormat="1" applyFont="1" applyFill="1" applyBorder="1" applyAlignment="1" applyProtection="1">
      <alignment horizontal="center"/>
    </xf>
    <xf numFmtId="9" fontId="0" fillId="0" borderId="2" xfId="3" applyFont="1" applyBorder="1" applyAlignment="1" applyProtection="1">
      <alignment horizontal="center"/>
      <protection locked="0"/>
    </xf>
    <xf numFmtId="9" fontId="0" fillId="0" borderId="5" xfId="3" applyFont="1" applyBorder="1" applyAlignment="1" applyProtection="1">
      <alignment horizontal="center"/>
      <protection locked="0"/>
    </xf>
    <xf numFmtId="0" fontId="0" fillId="4" borderId="25" xfId="0" applyFont="1" applyFill="1" applyBorder="1" applyAlignment="1" applyProtection="1">
      <alignment horizontal="left"/>
    </xf>
    <xf numFmtId="0" fontId="0" fillId="4" borderId="6" xfId="0" applyFont="1" applyFill="1" applyBorder="1" applyAlignment="1" applyProtection="1">
      <alignment horizontal="left"/>
    </xf>
    <xf numFmtId="0" fontId="0" fillId="4" borderId="4" xfId="0" applyFont="1" applyFill="1" applyBorder="1" applyAlignment="1" applyProtection="1">
      <alignment horizontal="left"/>
    </xf>
    <xf numFmtId="0" fontId="0" fillId="4" borderId="25" xfId="0" applyFill="1" applyBorder="1" applyAlignment="1" applyProtection="1">
      <alignment horizontal="left"/>
    </xf>
    <xf numFmtId="0" fontId="0" fillId="4" borderId="6" xfId="0" applyFill="1" applyBorder="1" applyAlignment="1" applyProtection="1">
      <alignment horizontal="left"/>
    </xf>
    <xf numFmtId="0" fontId="0" fillId="4" borderId="4" xfId="0" applyFill="1" applyBorder="1" applyAlignment="1" applyProtection="1">
      <alignment horizontal="left"/>
    </xf>
    <xf numFmtId="0" fontId="3" fillId="0" borderId="1" xfId="0" applyFont="1" applyBorder="1" applyAlignment="1" applyProtection="1">
      <alignment horizontal="right"/>
      <protection locked="0"/>
    </xf>
    <xf numFmtId="0" fontId="3" fillId="0" borderId="19" xfId="0" applyFont="1" applyBorder="1" applyAlignment="1" applyProtection="1">
      <alignment horizontal="right"/>
      <protection locked="0"/>
    </xf>
    <xf numFmtId="14" fontId="0" fillId="0" borderId="1" xfId="0" applyNumberFormat="1" applyBorder="1" applyAlignment="1" applyProtection="1">
      <alignment horizontal="right"/>
      <protection locked="0"/>
    </xf>
    <xf numFmtId="14" fontId="0" fillId="0" borderId="19" xfId="0" applyNumberFormat="1" applyBorder="1" applyAlignment="1" applyProtection="1">
      <alignment horizontal="right"/>
      <protection locked="0"/>
    </xf>
    <xf numFmtId="2" fontId="14" fillId="0" borderId="1" xfId="1" applyNumberFormat="1" applyFont="1" applyFill="1" applyBorder="1" applyAlignment="1" applyProtection="1">
      <alignment horizontal="right"/>
    </xf>
    <xf numFmtId="2" fontId="14" fillId="0" borderId="19" xfId="1" applyNumberFormat="1" applyFont="1" applyFill="1" applyBorder="1" applyAlignment="1" applyProtection="1">
      <alignment horizontal="right"/>
    </xf>
    <xf numFmtId="2" fontId="14" fillId="0" borderId="1" xfId="0" applyNumberFormat="1" applyFont="1" applyFill="1" applyBorder="1" applyAlignment="1" applyProtection="1">
      <alignment horizontal="right"/>
    </xf>
    <xf numFmtId="2" fontId="14" fillId="0" borderId="19" xfId="0" applyNumberFormat="1" applyFont="1" applyFill="1" applyBorder="1" applyAlignment="1" applyProtection="1">
      <alignment horizontal="right"/>
    </xf>
    <xf numFmtId="2" fontId="0" fillId="0" borderId="1" xfId="0" applyNumberFormat="1" applyBorder="1" applyAlignment="1" applyProtection="1">
      <alignment horizontal="right"/>
      <protection locked="0"/>
    </xf>
    <xf numFmtId="2" fontId="0" fillId="0" borderId="19" xfId="0" applyNumberFormat="1" applyBorder="1" applyAlignment="1" applyProtection="1">
      <alignment horizontal="right"/>
      <protection locked="0"/>
    </xf>
    <xf numFmtId="0" fontId="3" fillId="4" borderId="16" xfId="0" applyFont="1" applyFill="1" applyBorder="1" applyAlignment="1" applyProtection="1">
      <alignment horizontal="left"/>
    </xf>
    <xf numFmtId="0" fontId="3" fillId="4" borderId="1" xfId="0" applyFont="1" applyFill="1" applyBorder="1" applyAlignment="1" applyProtection="1">
      <alignment horizontal="left"/>
    </xf>
    <xf numFmtId="0" fontId="0" fillId="3" borderId="7" xfId="0" applyFill="1" applyBorder="1" applyAlignment="1" applyProtection="1">
      <alignment horizontal="center"/>
    </xf>
    <xf numFmtId="0" fontId="0" fillId="3" borderId="34" xfId="0" applyFill="1" applyBorder="1" applyAlignment="1" applyProtection="1">
      <alignment horizontal="center"/>
    </xf>
    <xf numFmtId="0" fontId="0" fillId="3" borderId="10" xfId="0" applyFill="1" applyBorder="1" applyAlignment="1" applyProtection="1">
      <alignment horizontal="center"/>
    </xf>
    <xf numFmtId="0" fontId="0" fillId="3" borderId="35" xfId="0" applyFill="1" applyBorder="1" applyAlignment="1" applyProtection="1">
      <alignment horizontal="center"/>
    </xf>
    <xf numFmtId="0" fontId="0" fillId="3" borderId="0" xfId="0" applyFill="1" applyBorder="1" applyAlignment="1" applyProtection="1">
      <alignment horizontal="center"/>
    </xf>
    <xf numFmtId="0" fontId="0" fillId="3" borderId="17" xfId="0" applyFill="1" applyBorder="1" applyAlignment="1" applyProtection="1">
      <alignment horizontal="center"/>
    </xf>
    <xf numFmtId="0" fontId="3" fillId="0" borderId="21" xfId="0" applyFont="1" applyFill="1" applyBorder="1" applyAlignment="1" applyProtection="1">
      <alignment horizontal="right"/>
      <protection locked="0"/>
    </xf>
    <xf numFmtId="0" fontId="0" fillId="0" borderId="26" xfId="0"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9" xfId="0" applyBorder="1" applyAlignment="1" applyProtection="1">
      <alignment horizontal="left" wrapText="1"/>
      <protection locked="0"/>
    </xf>
    <xf numFmtId="0" fontId="0" fillId="0" borderId="28"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2" xfId="0" applyBorder="1" applyAlignment="1" applyProtection="1">
      <alignment horizontal="left" wrapText="1"/>
      <protection locked="0"/>
    </xf>
    <xf numFmtId="164" fontId="0" fillId="0" borderId="1" xfId="0" applyNumberFormat="1" applyBorder="1" applyAlignment="1" applyProtection="1">
      <alignment horizontal="right"/>
      <protection locked="0"/>
    </xf>
    <xf numFmtId="44" fontId="3" fillId="6" borderId="1" xfId="2" applyFont="1" applyFill="1" applyBorder="1" applyAlignment="1" applyProtection="1">
      <alignment horizontal="right"/>
      <protection locked="0"/>
    </xf>
    <xf numFmtId="0" fontId="3" fillId="4" borderId="25"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4" xfId="0" applyFont="1" applyFill="1" applyBorder="1" applyAlignment="1" applyProtection="1">
      <alignment horizontal="center"/>
    </xf>
    <xf numFmtId="0" fontId="3" fillId="4" borderId="16" xfId="0" applyFont="1" applyFill="1" applyBorder="1" applyAlignment="1" applyProtection="1">
      <alignment horizontal="left" wrapText="1"/>
    </xf>
    <xf numFmtId="0" fontId="3" fillId="4" borderId="3" xfId="0" applyFont="1" applyFill="1" applyBorder="1" applyAlignment="1" applyProtection="1">
      <alignment horizontal="left" wrapText="1"/>
    </xf>
    <xf numFmtId="0" fontId="3" fillId="4" borderId="5" xfId="0" applyFont="1" applyFill="1" applyBorder="1" applyAlignment="1" applyProtection="1">
      <alignment horizontal="left"/>
    </xf>
    <xf numFmtId="0" fontId="3" fillId="4" borderId="1" xfId="0" applyFont="1" applyFill="1" applyBorder="1" applyAlignment="1" applyProtection="1">
      <alignment horizontal="left" wrapText="1"/>
    </xf>
    <xf numFmtId="0" fontId="14" fillId="0" borderId="3" xfId="0" applyFont="1" applyFill="1" applyBorder="1" applyAlignment="1" applyProtection="1">
      <alignment horizontal="center"/>
    </xf>
    <xf numFmtId="0" fontId="2" fillId="5" borderId="23" xfId="0" applyFont="1" applyFill="1" applyBorder="1" applyAlignment="1" applyProtection="1">
      <alignment horizontal="left"/>
    </xf>
    <xf numFmtId="0" fontId="2" fillId="5" borderId="24" xfId="0" applyFont="1" applyFill="1" applyBorder="1" applyAlignment="1" applyProtection="1">
      <alignment horizontal="left"/>
    </xf>
    <xf numFmtId="0" fontId="0" fillId="4" borderId="25" xfId="0" applyFill="1" applyBorder="1" applyAlignment="1" applyProtection="1">
      <alignment horizontal="left" wrapText="1"/>
    </xf>
    <xf numFmtId="0" fontId="0" fillId="4" borderId="6" xfId="0" applyFill="1" applyBorder="1" applyAlignment="1" applyProtection="1">
      <alignment horizontal="left" wrapText="1"/>
    </xf>
    <xf numFmtId="0" fontId="0" fillId="4" borderId="4" xfId="0" applyFill="1" applyBorder="1" applyAlignment="1" applyProtection="1">
      <alignment horizontal="left" wrapText="1"/>
    </xf>
    <xf numFmtId="0" fontId="3" fillId="4" borderId="25" xfId="0" applyFont="1" applyFill="1" applyBorder="1" applyAlignment="1" applyProtection="1">
      <alignment horizontal="left" wrapText="1"/>
    </xf>
    <xf numFmtId="0" fontId="3" fillId="4" borderId="6" xfId="0" applyFont="1" applyFill="1" applyBorder="1" applyAlignment="1" applyProtection="1">
      <alignment horizontal="left" wrapText="1"/>
    </xf>
    <xf numFmtId="0" fontId="3" fillId="4" borderId="4" xfId="0" applyFont="1" applyFill="1" applyBorder="1" applyAlignment="1" applyProtection="1">
      <alignment horizontal="left" wrapText="1"/>
    </xf>
    <xf numFmtId="0" fontId="3" fillId="4" borderId="25" xfId="0" applyFont="1" applyFill="1" applyBorder="1" applyAlignment="1" applyProtection="1">
      <alignment horizontal="left"/>
    </xf>
    <xf numFmtId="0" fontId="3" fillId="4" borderId="6" xfId="0" applyFont="1" applyFill="1" applyBorder="1" applyAlignment="1" applyProtection="1">
      <alignment horizontal="left"/>
    </xf>
    <xf numFmtId="0" fontId="3" fillId="4" borderId="4" xfId="0" applyFont="1" applyFill="1" applyBorder="1" applyAlignment="1" applyProtection="1">
      <alignment horizontal="left"/>
    </xf>
    <xf numFmtId="10" fontId="15" fillId="2" borderId="27" xfId="3" applyNumberFormat="1" applyFont="1" applyFill="1" applyBorder="1" applyAlignment="1" applyProtection="1">
      <alignment horizontal="center"/>
    </xf>
    <xf numFmtId="10" fontId="15" fillId="2" borderId="29" xfId="3" applyNumberFormat="1" applyFont="1" applyFill="1" applyBorder="1" applyAlignment="1" applyProtection="1">
      <alignment horizontal="center"/>
    </xf>
    <xf numFmtId="10" fontId="15" fillId="2" borderId="38" xfId="3" applyNumberFormat="1" applyFont="1" applyFill="1" applyBorder="1" applyAlignment="1" applyProtection="1">
      <alignment horizontal="center"/>
    </xf>
    <xf numFmtId="0" fontId="0" fillId="4" borderId="26" xfId="0" applyFill="1" applyBorder="1" applyAlignment="1" applyProtection="1">
      <alignment horizontal="left" wrapText="1"/>
    </xf>
    <xf numFmtId="0" fontId="0" fillId="4" borderId="9" xfId="0" applyFill="1" applyBorder="1" applyAlignment="1" applyProtection="1">
      <alignment horizontal="left" wrapText="1"/>
    </xf>
    <xf numFmtId="0" fontId="0" fillId="4" borderId="28" xfId="0" applyFill="1" applyBorder="1" applyAlignment="1" applyProtection="1">
      <alignment horizontal="left" wrapText="1"/>
    </xf>
    <xf numFmtId="0" fontId="0" fillId="4" borderId="12" xfId="0" applyFill="1" applyBorder="1" applyAlignment="1" applyProtection="1">
      <alignment horizontal="left" wrapText="1"/>
    </xf>
    <xf numFmtId="0" fontId="0" fillId="4" borderId="16" xfId="0" applyFill="1" applyBorder="1" applyAlignment="1" applyProtection="1">
      <alignment horizontal="left" wrapText="1"/>
    </xf>
    <xf numFmtId="0" fontId="0" fillId="4" borderId="3" xfId="0" applyFill="1" applyBorder="1" applyAlignment="1" applyProtection="1">
      <alignment horizontal="left" wrapText="1"/>
    </xf>
    <xf numFmtId="0" fontId="0" fillId="4" borderId="8" xfId="0" applyFill="1" applyBorder="1" applyAlignment="1" applyProtection="1">
      <alignment horizontal="left" wrapText="1"/>
    </xf>
    <xf numFmtId="0" fontId="0" fillId="4" borderId="11" xfId="0" applyFill="1" applyBorder="1" applyAlignment="1" applyProtection="1">
      <alignment horizontal="left" wrapText="1"/>
    </xf>
    <xf numFmtId="0" fontId="0" fillId="4" borderId="20" xfId="0" applyFill="1" applyBorder="1" applyAlignment="1" applyProtection="1">
      <alignment horizontal="left" wrapText="1"/>
    </xf>
    <xf numFmtId="0" fontId="0" fillId="4" borderId="21" xfId="0" applyFill="1" applyBorder="1" applyAlignment="1" applyProtection="1">
      <alignment horizontal="left" wrapText="1"/>
    </xf>
    <xf numFmtId="0" fontId="0" fillId="4" borderId="37" xfId="0" applyFill="1" applyBorder="1" applyAlignment="1" applyProtection="1">
      <alignment horizontal="left" wrapText="1"/>
    </xf>
    <xf numFmtId="0" fontId="3" fillId="0" borderId="2"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36" xfId="0" applyFont="1" applyBorder="1" applyAlignment="1" applyProtection="1">
      <alignment horizontal="center"/>
      <protection locked="0"/>
    </xf>
    <xf numFmtId="0" fontId="8" fillId="0" borderId="26" xfId="0" quotePrefix="1" applyFont="1" applyBorder="1" applyAlignment="1" applyProtection="1">
      <alignment horizontal="left" wrapText="1"/>
    </xf>
    <xf numFmtId="0" fontId="8" fillId="0" borderId="8" xfId="0" quotePrefix="1" applyFont="1" applyBorder="1" applyAlignment="1" applyProtection="1">
      <alignment horizontal="left" wrapText="1"/>
    </xf>
    <xf numFmtId="0" fontId="8" fillId="0" borderId="34" xfId="0" quotePrefix="1" applyFont="1" applyBorder="1" applyAlignment="1" applyProtection="1">
      <alignment horizontal="left" wrapText="1"/>
    </xf>
    <xf numFmtId="0" fontId="8" fillId="0" borderId="20" xfId="0" quotePrefix="1" applyFont="1" applyBorder="1" applyAlignment="1" applyProtection="1">
      <alignment horizontal="left" wrapText="1"/>
    </xf>
    <xf numFmtId="0" fontId="8" fillId="0" borderId="21" xfId="0" quotePrefix="1" applyFont="1" applyBorder="1" applyAlignment="1" applyProtection="1">
      <alignment horizontal="left" wrapText="1"/>
    </xf>
    <xf numFmtId="0" fontId="8" fillId="0" borderId="22" xfId="0" quotePrefix="1" applyFont="1" applyBorder="1" applyAlignment="1" applyProtection="1">
      <alignment horizontal="left" wrapText="1"/>
    </xf>
    <xf numFmtId="9" fontId="0" fillId="0" borderId="1" xfId="3" applyFont="1" applyBorder="1" applyAlignment="1" applyProtection="1">
      <alignment horizontal="center"/>
      <protection locked="0"/>
    </xf>
    <xf numFmtId="44" fontId="15" fillId="2" borderId="1" xfId="2" applyFont="1" applyFill="1" applyBorder="1" applyAlignment="1" applyProtection="1">
      <alignment horizontal="right"/>
    </xf>
    <xf numFmtId="44" fontId="15" fillId="2" borderId="19" xfId="2" applyFont="1" applyFill="1" applyBorder="1" applyAlignment="1" applyProtection="1">
      <alignment horizontal="right"/>
    </xf>
    <xf numFmtId="0" fontId="3" fillId="0" borderId="0" xfId="0" applyFont="1" applyBorder="1" applyAlignment="1" applyProtection="1">
      <alignment horizontal="right"/>
    </xf>
    <xf numFmtId="0" fontId="8" fillId="0" borderId="18" xfId="0" quotePrefix="1" applyFont="1" applyBorder="1" applyAlignment="1" applyProtection="1">
      <alignment horizontal="left" wrapText="1"/>
    </xf>
    <xf numFmtId="0" fontId="8" fillId="0" borderId="0" xfId="0" quotePrefix="1" applyFont="1" applyBorder="1" applyAlignment="1" applyProtection="1">
      <alignment horizontal="left" wrapText="1"/>
    </xf>
    <xf numFmtId="0" fontId="8" fillId="0" borderId="17" xfId="0" quotePrefix="1" applyFont="1" applyBorder="1" applyAlignment="1" applyProtection="1">
      <alignment horizontal="left" wrapText="1"/>
    </xf>
    <xf numFmtId="2" fontId="15" fillId="4" borderId="19" xfId="0" applyNumberFormat="1" applyFont="1" applyFill="1" applyBorder="1" applyAlignment="1" applyProtection="1">
      <alignment horizontal="right"/>
    </xf>
    <xf numFmtId="0" fontId="2" fillId="5" borderId="13" xfId="0" applyFont="1" applyFill="1" applyBorder="1" applyAlignment="1" applyProtection="1">
      <alignment horizontal="left"/>
      <protection locked="0"/>
    </xf>
    <xf numFmtId="0" fontId="2" fillId="5" borderId="14" xfId="0" applyFont="1" applyFill="1" applyBorder="1" applyAlignment="1" applyProtection="1">
      <alignment horizontal="left"/>
      <protection locked="0"/>
    </xf>
    <xf numFmtId="2" fontId="3" fillId="0" borderId="1" xfId="0" applyNumberFormat="1" applyFont="1" applyBorder="1" applyAlignment="1" applyProtection="1">
      <alignment horizontal="right"/>
      <protection locked="0"/>
    </xf>
  </cellXfs>
  <cellStyles count="4">
    <cellStyle name="Comma" xfId="1" builtinId="3"/>
    <cellStyle name="Currency" xfId="2" builtinId="4"/>
    <cellStyle name="Normal" xfId="0" builtinId="0"/>
    <cellStyle name="Percent" xfId="3" builtinId="5"/>
  </cellStyles>
  <dxfs count="3">
    <dxf>
      <font>
        <color rgb="FFFF0000"/>
      </font>
    </dxf>
    <dxf>
      <font>
        <color rgb="FFFF0000"/>
      </font>
    </dxf>
    <dxf>
      <font>
        <color rgb="FF00B050"/>
      </font>
    </dxf>
  </dxfs>
  <tableStyles count="0" defaultTableStyle="TableStyleMedium2" defaultPivotStyle="PivotStyleLight16"/>
  <colors>
    <mruColors>
      <color rgb="FF008237"/>
      <color rgb="FFFFED00"/>
      <color rgb="FF009FE3"/>
      <color rgb="FF2734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3C222-EABE-4207-9F84-23852A4452C5}">
  <dimension ref="A1:D27"/>
  <sheetViews>
    <sheetView workbookViewId="0">
      <selection activeCell="J6" sqref="J6"/>
    </sheetView>
  </sheetViews>
  <sheetFormatPr defaultRowHeight="15" x14ac:dyDescent="0.25"/>
  <cols>
    <col min="1" max="3" width="12.42578125" customWidth="1"/>
    <col min="4" max="4" width="20.28515625" style="92" customWidth="1"/>
    <col min="5" max="5" width="12.42578125" customWidth="1"/>
  </cols>
  <sheetData>
    <row r="1" spans="1:4" ht="23.25" x14ac:dyDescent="0.35">
      <c r="A1" s="36" t="s">
        <v>28</v>
      </c>
      <c r="B1" s="37"/>
      <c r="C1" s="37"/>
      <c r="D1" s="91"/>
    </row>
    <row r="2" spans="1:4" x14ac:dyDescent="0.25">
      <c r="A2" s="37"/>
      <c r="B2" s="37"/>
      <c r="C2" s="37"/>
      <c r="D2" s="91"/>
    </row>
    <row r="3" spans="1:4" x14ac:dyDescent="0.25">
      <c r="A3" s="117" t="s">
        <v>130</v>
      </c>
      <c r="B3" s="117"/>
      <c r="C3" s="117"/>
      <c r="D3" s="117"/>
    </row>
    <row r="4" spans="1:4" x14ac:dyDescent="0.25">
      <c r="A4" s="118" t="s">
        <v>114</v>
      </c>
      <c r="B4" s="119"/>
      <c r="C4" s="119"/>
      <c r="D4" s="120"/>
    </row>
    <row r="5" spans="1:4" x14ac:dyDescent="0.25">
      <c r="A5" s="115" t="s">
        <v>113</v>
      </c>
      <c r="B5" s="115"/>
      <c r="C5" s="115"/>
      <c r="D5" s="93">
        <f>'All Metrics'!I15</f>
        <v>1.0216905832503982</v>
      </c>
    </row>
    <row r="6" spans="1:4" x14ac:dyDescent="0.25">
      <c r="A6" s="115" t="s">
        <v>144</v>
      </c>
      <c r="B6" s="115"/>
      <c r="C6" s="115"/>
      <c r="D6" s="94">
        <f>'All Metrics'!P13</f>
        <v>-26.26262626262627</v>
      </c>
    </row>
    <row r="7" spans="1:4" x14ac:dyDescent="0.25">
      <c r="A7" s="118" t="s">
        <v>115</v>
      </c>
      <c r="B7" s="119"/>
      <c r="C7" s="119"/>
      <c r="D7" s="120"/>
    </row>
    <row r="8" spans="1:4" x14ac:dyDescent="0.25">
      <c r="A8" s="115" t="s">
        <v>118</v>
      </c>
      <c r="B8" s="115"/>
      <c r="C8" s="115"/>
      <c r="D8" s="95">
        <f>'All Metrics'!B26</f>
        <v>56754</v>
      </c>
    </row>
    <row r="9" spans="1:4" x14ac:dyDescent="0.25">
      <c r="A9" s="115" t="s">
        <v>117</v>
      </c>
      <c r="B9" s="115"/>
      <c r="C9" s="115"/>
      <c r="D9" s="95">
        <f>'All Metrics'!J25</f>
        <v>20699.568758984187</v>
      </c>
    </row>
    <row r="10" spans="1:4" x14ac:dyDescent="0.25">
      <c r="A10" s="115" t="s">
        <v>119</v>
      </c>
      <c r="B10" s="115"/>
      <c r="C10" s="115"/>
      <c r="D10" s="95">
        <f>SUM(D8:D9)</f>
        <v>77453.568758984184</v>
      </c>
    </row>
    <row r="11" spans="1:4" x14ac:dyDescent="0.25">
      <c r="A11" s="115" t="s">
        <v>116</v>
      </c>
      <c r="B11" s="115"/>
      <c r="C11" s="115"/>
      <c r="D11" s="93">
        <f>-'All Metrics'!E26</f>
        <v>-0.43681012658227847</v>
      </c>
    </row>
    <row r="12" spans="1:4" x14ac:dyDescent="0.25">
      <c r="A12" s="121" t="s">
        <v>120</v>
      </c>
      <c r="B12" s="121"/>
      <c r="C12" s="121"/>
      <c r="D12" s="121"/>
    </row>
    <row r="13" spans="1:4" x14ac:dyDescent="0.25">
      <c r="A13" s="115" t="s">
        <v>121</v>
      </c>
      <c r="B13" s="115"/>
      <c r="C13" s="115"/>
      <c r="D13" s="93">
        <f>'All Metrics'!J34</f>
        <v>2.5321239606953892E-2</v>
      </c>
    </row>
    <row r="14" spans="1:4" x14ac:dyDescent="0.25">
      <c r="A14" s="115" t="s">
        <v>19</v>
      </c>
      <c r="B14" s="115"/>
      <c r="C14" s="115"/>
      <c r="D14" s="93">
        <f>'All Metrics'!J32</f>
        <v>0.59701492537313428</v>
      </c>
    </row>
    <row r="15" spans="1:4" x14ac:dyDescent="0.25">
      <c r="A15" s="115" t="s">
        <v>122</v>
      </c>
      <c r="B15" s="115"/>
      <c r="C15" s="115"/>
      <c r="D15" s="93">
        <f>'All Metrics'!K37</f>
        <v>0.60447761194029848</v>
      </c>
    </row>
    <row r="16" spans="1:4" x14ac:dyDescent="0.25">
      <c r="A16" s="115" t="s">
        <v>124</v>
      </c>
      <c r="B16" s="115"/>
      <c r="C16" s="115"/>
      <c r="D16" s="93">
        <f>'All Metrics'!Q36</f>
        <v>8.3333333333333329E-2</v>
      </c>
    </row>
    <row r="17" spans="1:4" x14ac:dyDescent="0.25">
      <c r="A17" s="121" t="s">
        <v>125</v>
      </c>
      <c r="B17" s="121"/>
      <c r="C17" s="121"/>
      <c r="D17" s="121"/>
    </row>
    <row r="18" spans="1:4" x14ac:dyDescent="0.25">
      <c r="A18" s="116" t="s">
        <v>126</v>
      </c>
      <c r="B18" s="116"/>
      <c r="C18" s="116"/>
      <c r="D18" s="96">
        <f>'All Metrics'!B38+'All Metrics'!B37+'All Metrics'!B36</f>
        <v>134</v>
      </c>
    </row>
    <row r="19" spans="1:4" x14ac:dyDescent="0.25">
      <c r="A19" s="116" t="s">
        <v>134</v>
      </c>
      <c r="B19" s="116"/>
      <c r="C19" s="116"/>
      <c r="D19" s="96">
        <f>'All Metrics'!B38</f>
        <v>36</v>
      </c>
    </row>
    <row r="20" spans="1:4" x14ac:dyDescent="0.25">
      <c r="A20" s="116" t="s">
        <v>135</v>
      </c>
      <c r="B20" s="116"/>
      <c r="C20" s="116"/>
      <c r="D20" s="96">
        <f>'All Metrics'!B39</f>
        <v>98</v>
      </c>
    </row>
    <row r="21" spans="1:4" x14ac:dyDescent="0.25">
      <c r="A21" s="116" t="s">
        <v>123</v>
      </c>
      <c r="B21" s="116"/>
      <c r="C21" s="116"/>
      <c r="D21" s="93">
        <f>'All Metrics'!K39</f>
        <v>0.20895522388059701</v>
      </c>
    </row>
    <row r="22" spans="1:4" x14ac:dyDescent="0.25">
      <c r="A22" s="116" t="s">
        <v>127</v>
      </c>
      <c r="B22" s="116"/>
      <c r="C22" s="116"/>
      <c r="D22" s="97">
        <f>'All Metrics'!C38</f>
        <v>249000</v>
      </c>
    </row>
    <row r="23" spans="1:4" x14ac:dyDescent="0.25">
      <c r="A23" s="122" t="s">
        <v>131</v>
      </c>
      <c r="B23" s="123"/>
      <c r="C23" s="124"/>
      <c r="D23" s="97">
        <f>D22/D18</f>
        <v>1858.2089552238806</v>
      </c>
    </row>
    <row r="24" spans="1:4" x14ac:dyDescent="0.25">
      <c r="A24" s="116" t="s">
        <v>128</v>
      </c>
      <c r="B24" s="116"/>
      <c r="C24" s="116"/>
      <c r="D24" s="93">
        <f>'All Metrics'!C40</f>
        <v>2.2148292711317756</v>
      </c>
    </row>
    <row r="25" spans="1:4" x14ac:dyDescent="0.25">
      <c r="A25" s="116" t="s">
        <v>133</v>
      </c>
      <c r="B25" s="116"/>
      <c r="C25" s="116"/>
      <c r="D25" s="97">
        <f>'All Metrics'!P47</f>
        <v>0</v>
      </c>
    </row>
    <row r="26" spans="1:4" x14ac:dyDescent="0.25">
      <c r="A26" s="122" t="s">
        <v>132</v>
      </c>
      <c r="B26" s="123"/>
      <c r="C26" s="124"/>
      <c r="D26" s="97">
        <f>D25/D18</f>
        <v>0</v>
      </c>
    </row>
    <row r="27" spans="1:4" x14ac:dyDescent="0.25">
      <c r="A27" s="116" t="s">
        <v>129</v>
      </c>
      <c r="B27" s="116"/>
      <c r="C27" s="116"/>
      <c r="D27" s="93">
        <f>'All Metrics'!P49</f>
        <v>-1</v>
      </c>
    </row>
  </sheetData>
  <mergeCells count="25">
    <mergeCell ref="A27:C27"/>
    <mergeCell ref="A4:D4"/>
    <mergeCell ref="A12:D12"/>
    <mergeCell ref="A17:D17"/>
    <mergeCell ref="A23:C23"/>
    <mergeCell ref="A26:C26"/>
    <mergeCell ref="A7:D7"/>
    <mergeCell ref="A19:C19"/>
    <mergeCell ref="A20:C20"/>
    <mergeCell ref="A21:C21"/>
    <mergeCell ref="A22:C22"/>
    <mergeCell ref="A24:C24"/>
    <mergeCell ref="A25:C25"/>
    <mergeCell ref="A11:C11"/>
    <mergeCell ref="A13:C13"/>
    <mergeCell ref="A14:C14"/>
    <mergeCell ref="A15:C15"/>
    <mergeCell ref="A16:C16"/>
    <mergeCell ref="A18:C18"/>
    <mergeCell ref="A3:D3"/>
    <mergeCell ref="A5:C5"/>
    <mergeCell ref="A6:C6"/>
    <mergeCell ref="A8:C8"/>
    <mergeCell ref="A9:C9"/>
    <mergeCell ref="A10:C10"/>
  </mergeCells>
  <conditionalFormatting sqref="D11">
    <cfRule type="dataBar" priority="10">
      <dataBar>
        <cfvo type="min"/>
        <cfvo type="max"/>
        <color rgb="FF008237"/>
      </dataBar>
      <extLst>
        <ext xmlns:x14="http://schemas.microsoft.com/office/spreadsheetml/2009/9/main" uri="{B025F937-C7B1-47D3-B67F-A62EFF666E3E}">
          <x14:id>{BE5F455D-F8ED-47E8-B29E-C056F43CCC44}</x14:id>
        </ext>
      </extLst>
    </cfRule>
  </conditionalFormatting>
  <conditionalFormatting sqref="D5">
    <cfRule type="dataBar" priority="9">
      <dataBar>
        <cfvo type="min"/>
        <cfvo type="max"/>
        <color rgb="FF008237"/>
      </dataBar>
      <extLst>
        <ext xmlns:x14="http://schemas.microsoft.com/office/spreadsheetml/2009/9/main" uri="{B025F937-C7B1-47D3-B67F-A62EFF666E3E}">
          <x14:id>{37496F88-9D8B-4D8E-ACD4-185400655E61}</x14:id>
        </ext>
      </extLst>
    </cfRule>
  </conditionalFormatting>
  <conditionalFormatting sqref="D6">
    <cfRule type="dataBar" priority="8">
      <dataBar>
        <cfvo type="num" val="-100"/>
        <cfvo type="num" val="100"/>
        <color rgb="FF008237"/>
      </dataBar>
      <extLst>
        <ext xmlns:x14="http://schemas.microsoft.com/office/spreadsheetml/2009/9/main" uri="{B025F937-C7B1-47D3-B67F-A62EFF666E3E}">
          <x14:id>{4D0DA34F-BE94-4F00-9046-20A4D0012B11}</x14:id>
        </ext>
      </extLst>
    </cfRule>
  </conditionalFormatting>
  <conditionalFormatting sqref="D13:D14">
    <cfRule type="dataBar" priority="7">
      <dataBar>
        <cfvo type="percent" val="0"/>
        <cfvo type="percent" val="100"/>
        <color rgb="FF008237"/>
      </dataBar>
      <extLst>
        <ext xmlns:x14="http://schemas.microsoft.com/office/spreadsheetml/2009/9/main" uri="{B025F937-C7B1-47D3-B67F-A62EFF666E3E}">
          <x14:id>{E385F073-8831-48C0-84A0-F1960E757EC0}</x14:id>
        </ext>
      </extLst>
    </cfRule>
  </conditionalFormatting>
  <conditionalFormatting sqref="D16">
    <cfRule type="dataBar" priority="4">
      <dataBar>
        <cfvo type="num" val="-1"/>
        <cfvo type="num" val="1"/>
        <color rgb="FF008237"/>
      </dataBar>
      <extLst>
        <ext xmlns:x14="http://schemas.microsoft.com/office/spreadsheetml/2009/9/main" uri="{B025F937-C7B1-47D3-B67F-A62EFF666E3E}">
          <x14:id>{07463FFD-8A81-47F0-B14B-8B5FB5073F8E}</x14:id>
        </ext>
      </extLst>
    </cfRule>
  </conditionalFormatting>
  <conditionalFormatting sqref="D27">
    <cfRule type="dataBar" priority="3">
      <dataBar>
        <cfvo type="min"/>
        <cfvo type="max"/>
        <color rgb="FF008237"/>
      </dataBar>
      <extLst>
        <ext xmlns:x14="http://schemas.microsoft.com/office/spreadsheetml/2009/9/main" uri="{B025F937-C7B1-47D3-B67F-A62EFF666E3E}">
          <x14:id>{9032448F-A6D5-4DC3-B386-025DFB7728EB}</x14:id>
        </ext>
      </extLst>
    </cfRule>
  </conditionalFormatting>
  <conditionalFormatting sqref="D24">
    <cfRule type="dataBar" priority="2">
      <dataBar>
        <cfvo type="min"/>
        <cfvo type="max"/>
        <color rgb="FF008237"/>
      </dataBar>
      <extLst>
        <ext xmlns:x14="http://schemas.microsoft.com/office/spreadsheetml/2009/9/main" uri="{B025F937-C7B1-47D3-B67F-A62EFF666E3E}">
          <x14:id>{74C5F222-3927-4FDA-8C6C-1352D5FFFA59}</x14:id>
        </ext>
      </extLst>
    </cfRule>
  </conditionalFormatting>
  <conditionalFormatting sqref="D15">
    <cfRule type="dataBar" priority="1">
      <dataBar>
        <cfvo type="percent" val="0"/>
        <cfvo type="percent" val="100"/>
        <color rgb="FF008237"/>
      </dataBar>
      <extLst>
        <ext xmlns:x14="http://schemas.microsoft.com/office/spreadsheetml/2009/9/main" uri="{B025F937-C7B1-47D3-B67F-A62EFF666E3E}">
          <x14:id>{EBF05913-75E2-4FE6-9D04-83B15280204D}</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BE5F455D-F8ED-47E8-B29E-C056F43CCC44}">
            <x14:dataBar minLength="0" maxLength="100" gradient="0" direction="leftToRight" axisPosition="middle">
              <x14:cfvo type="autoMin"/>
              <x14:cfvo type="autoMax"/>
              <x14:negativeFillColor rgb="FFFF0000"/>
              <x14:axisColor rgb="FF000000"/>
            </x14:dataBar>
          </x14:cfRule>
          <xm:sqref>D11</xm:sqref>
        </x14:conditionalFormatting>
        <x14:conditionalFormatting xmlns:xm="http://schemas.microsoft.com/office/excel/2006/main">
          <x14:cfRule type="dataBar" id="{37496F88-9D8B-4D8E-ACD4-185400655E61}">
            <x14:dataBar minLength="0" maxLength="100" gradient="0" axisPosition="middle">
              <x14:cfvo type="autoMin"/>
              <x14:cfvo type="autoMax"/>
              <x14:negativeFillColor rgb="FFFF0000"/>
              <x14:axisColor rgb="FF000000"/>
            </x14:dataBar>
          </x14:cfRule>
          <xm:sqref>D5</xm:sqref>
        </x14:conditionalFormatting>
        <x14:conditionalFormatting xmlns:xm="http://schemas.microsoft.com/office/excel/2006/main">
          <x14:cfRule type="dataBar" id="{4D0DA34F-BE94-4F00-9046-20A4D0012B11}">
            <x14:dataBar minLength="0" maxLength="100" gradient="0" axisPosition="middle">
              <x14:cfvo type="num">
                <xm:f>-100</xm:f>
              </x14:cfvo>
              <x14:cfvo type="num">
                <xm:f>100</xm:f>
              </x14:cfvo>
              <x14:negativeFillColor rgb="FFFF0000"/>
              <x14:axisColor rgb="FF000000"/>
            </x14:dataBar>
          </x14:cfRule>
          <xm:sqref>D6</xm:sqref>
        </x14:conditionalFormatting>
        <x14:conditionalFormatting xmlns:xm="http://schemas.microsoft.com/office/excel/2006/main">
          <x14:cfRule type="dataBar" id="{E385F073-8831-48C0-84A0-F1960E757EC0}">
            <x14:dataBar minLength="0" maxLength="100" gradient="0" axisPosition="middle">
              <x14:cfvo type="percent">
                <xm:f>0</xm:f>
              </x14:cfvo>
              <x14:cfvo type="percent">
                <xm:f>100</xm:f>
              </x14:cfvo>
              <x14:negativeFillColor rgb="FFFF0000"/>
              <x14:axisColor rgb="FF000000"/>
            </x14:dataBar>
          </x14:cfRule>
          <xm:sqref>D13:D14</xm:sqref>
        </x14:conditionalFormatting>
        <x14:conditionalFormatting xmlns:xm="http://schemas.microsoft.com/office/excel/2006/main">
          <x14:cfRule type="dataBar" id="{07463FFD-8A81-47F0-B14B-8B5FB5073F8E}">
            <x14:dataBar minLength="0" maxLength="100" gradient="0" axisPosition="middle">
              <x14:cfvo type="num">
                <xm:f>-1</xm:f>
              </x14:cfvo>
              <x14:cfvo type="num">
                <xm:f>1</xm:f>
              </x14:cfvo>
              <x14:negativeFillColor rgb="FFFF0000"/>
              <x14:axisColor rgb="FF000000"/>
            </x14:dataBar>
          </x14:cfRule>
          <xm:sqref>D16</xm:sqref>
        </x14:conditionalFormatting>
        <x14:conditionalFormatting xmlns:xm="http://schemas.microsoft.com/office/excel/2006/main">
          <x14:cfRule type="dataBar" id="{9032448F-A6D5-4DC3-B386-025DFB7728EB}">
            <x14:dataBar minLength="0" maxLength="100" gradient="0" axisPosition="middle">
              <x14:cfvo type="autoMin"/>
              <x14:cfvo type="autoMax"/>
              <x14:negativeFillColor rgb="FFFF0000"/>
              <x14:axisColor rgb="FF000000"/>
            </x14:dataBar>
          </x14:cfRule>
          <xm:sqref>D27</xm:sqref>
        </x14:conditionalFormatting>
        <x14:conditionalFormatting xmlns:xm="http://schemas.microsoft.com/office/excel/2006/main">
          <x14:cfRule type="dataBar" id="{74C5F222-3927-4FDA-8C6C-1352D5FFFA59}">
            <x14:dataBar minLength="0" maxLength="100" gradient="0" axisPosition="middle">
              <x14:cfvo type="autoMin"/>
              <x14:cfvo type="autoMax"/>
              <x14:negativeFillColor rgb="FFFF0000"/>
              <x14:axisColor rgb="FF000000"/>
            </x14:dataBar>
          </x14:cfRule>
          <xm:sqref>D24</xm:sqref>
        </x14:conditionalFormatting>
        <x14:conditionalFormatting xmlns:xm="http://schemas.microsoft.com/office/excel/2006/main">
          <x14:cfRule type="dataBar" id="{EBF05913-75E2-4FE6-9D04-83B15280204D}">
            <x14:dataBar minLength="0" maxLength="100" gradient="0" axisPosition="middle">
              <x14:cfvo type="percent">
                <xm:f>0</xm:f>
              </x14:cfvo>
              <x14:cfvo type="percent">
                <xm:f>100</xm:f>
              </x14:cfvo>
              <x14:negativeFillColor rgb="FFFF0000"/>
              <x14:axisColor rgb="FF000000"/>
            </x14:dataBar>
          </x14:cfRule>
          <xm:sqref>D15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41E1A-2B81-495A-BF37-302078C06DDF}">
  <sheetPr>
    <pageSetUpPr fitToPage="1"/>
  </sheetPr>
  <dimension ref="A1:Z49"/>
  <sheetViews>
    <sheetView showGridLines="0" tabSelected="1" topLeftCell="A7" workbookViewId="0">
      <selection activeCell="E38" sqref="E38"/>
    </sheetView>
  </sheetViews>
  <sheetFormatPr defaultRowHeight="15" x14ac:dyDescent="0.25"/>
  <cols>
    <col min="1" max="1" width="29.28515625" style="8" customWidth="1"/>
    <col min="2" max="6" width="12.42578125" style="8" customWidth="1"/>
    <col min="7" max="9" width="13.7109375" style="8" customWidth="1"/>
    <col min="10" max="12" width="12.42578125" style="8" customWidth="1"/>
    <col min="13" max="15" width="14.28515625" style="8" customWidth="1"/>
    <col min="16" max="18" width="13.140625" style="8" customWidth="1"/>
    <col min="19" max="16384" width="9.140625" style="8"/>
  </cols>
  <sheetData>
    <row r="1" spans="1:19" s="37" customFormat="1" ht="23.25" x14ac:dyDescent="0.35">
      <c r="A1" s="36" t="s">
        <v>28</v>
      </c>
    </row>
    <row r="2" spans="1:19" s="37" customFormat="1" ht="15.75" thickBot="1" x14ac:dyDescent="0.3"/>
    <row r="3" spans="1:19" x14ac:dyDescent="0.25">
      <c r="A3" s="182" t="s">
        <v>92</v>
      </c>
      <c r="B3" s="183"/>
      <c r="C3" s="183"/>
      <c r="D3" s="183"/>
      <c r="E3" s="38"/>
      <c r="F3" s="38"/>
      <c r="G3" s="38"/>
      <c r="H3" s="39">
        <f>SUM(H5:H14)</f>
        <v>1.0000000000000002</v>
      </c>
      <c r="I3" s="40"/>
    </row>
    <row r="4" spans="1:19" x14ac:dyDescent="0.25">
      <c r="A4" s="174" t="s">
        <v>29</v>
      </c>
      <c r="B4" s="175"/>
      <c r="C4" s="176"/>
      <c r="D4" s="41" t="s">
        <v>10</v>
      </c>
      <c r="E4" s="41" t="s">
        <v>9</v>
      </c>
      <c r="F4" s="41" t="s">
        <v>11</v>
      </c>
      <c r="G4" s="41" t="s">
        <v>30</v>
      </c>
      <c r="H4" s="41" t="s">
        <v>27</v>
      </c>
      <c r="I4" s="42" t="s">
        <v>12</v>
      </c>
    </row>
    <row r="5" spans="1:19" x14ac:dyDescent="0.25">
      <c r="A5" s="166" t="s">
        <v>136</v>
      </c>
      <c r="B5" s="167"/>
      <c r="C5" s="168"/>
      <c r="D5" s="125">
        <f>130-87</f>
        <v>43</v>
      </c>
      <c r="E5" s="126" t="s">
        <v>25</v>
      </c>
      <c r="F5" s="128">
        <f>18+18</f>
        <v>36</v>
      </c>
      <c r="G5" s="127">
        <f>F5/D5</f>
        <v>0.83720930232558144</v>
      </c>
      <c r="H5" s="139">
        <v>0.3</v>
      </c>
      <c r="I5" s="137">
        <f>G5*H5</f>
        <v>0.25116279069767444</v>
      </c>
    </row>
    <row r="6" spans="1:19" ht="15" customHeight="1" thickBot="1" x14ac:dyDescent="0.3">
      <c r="A6" s="169"/>
      <c r="B6" s="170"/>
      <c r="C6" s="171"/>
      <c r="D6" s="125"/>
      <c r="E6" s="126"/>
      <c r="F6" s="128"/>
      <c r="G6" s="127"/>
      <c r="H6" s="140"/>
      <c r="I6" s="138"/>
    </row>
    <row r="7" spans="1:19" x14ac:dyDescent="0.25">
      <c r="A7" s="166" t="s">
        <v>137</v>
      </c>
      <c r="B7" s="167"/>
      <c r="C7" s="168"/>
      <c r="D7" s="125">
        <v>87</v>
      </c>
      <c r="E7" s="126" t="s">
        <v>25</v>
      </c>
      <c r="F7" s="128">
        <f>98</f>
        <v>98</v>
      </c>
      <c r="G7" s="127">
        <f>F7/D7</f>
        <v>1.1264367816091954</v>
      </c>
      <c r="H7" s="139">
        <f>0.25</f>
        <v>0.25</v>
      </c>
      <c r="I7" s="137">
        <f>G7*H7</f>
        <v>0.28160919540229884</v>
      </c>
      <c r="K7" s="224" t="s">
        <v>101</v>
      </c>
      <c r="L7" s="225"/>
      <c r="M7" s="34"/>
      <c r="N7" s="32"/>
      <c r="O7" s="32"/>
      <c r="P7" s="33"/>
    </row>
    <row r="8" spans="1:19" ht="15" customHeight="1" x14ac:dyDescent="0.25">
      <c r="A8" s="169"/>
      <c r="B8" s="170"/>
      <c r="C8" s="171"/>
      <c r="D8" s="125"/>
      <c r="E8" s="126"/>
      <c r="F8" s="128"/>
      <c r="G8" s="127"/>
      <c r="H8" s="140"/>
      <c r="I8" s="138"/>
      <c r="K8" s="44"/>
      <c r="L8" s="43"/>
      <c r="M8" s="41" t="s">
        <v>104</v>
      </c>
      <c r="N8" s="41" t="s">
        <v>110</v>
      </c>
      <c r="O8" s="41" t="s">
        <v>111</v>
      </c>
      <c r="P8" s="42" t="s">
        <v>105</v>
      </c>
    </row>
    <row r="9" spans="1:19" x14ac:dyDescent="0.25">
      <c r="A9" s="166" t="s">
        <v>138</v>
      </c>
      <c r="B9" s="167"/>
      <c r="C9" s="168"/>
      <c r="D9" s="172">
        <f>(B26-B22)*4</f>
        <v>207016</v>
      </c>
      <c r="E9" s="126" t="s">
        <v>13</v>
      </c>
      <c r="F9" s="173">
        <f>C38</f>
        <v>249000</v>
      </c>
      <c r="G9" s="127">
        <f>F9/D9</f>
        <v>1.2028055802450053</v>
      </c>
      <c r="H9" s="139">
        <v>0.3</v>
      </c>
      <c r="I9" s="137">
        <f>G9*H9</f>
        <v>0.36084167407350159</v>
      </c>
      <c r="K9" s="196" t="s">
        <v>102</v>
      </c>
      <c r="L9" s="197"/>
      <c r="M9" s="226">
        <v>9</v>
      </c>
      <c r="N9" s="226">
        <v>2</v>
      </c>
      <c r="O9" s="226">
        <v>0</v>
      </c>
      <c r="P9" s="223">
        <f>((M9-O9)/SUM(M9:O10))*100</f>
        <v>81.818181818181827</v>
      </c>
    </row>
    <row r="10" spans="1:19" ht="15" customHeight="1" x14ac:dyDescent="0.25">
      <c r="A10" s="169"/>
      <c r="B10" s="170"/>
      <c r="C10" s="171"/>
      <c r="D10" s="125"/>
      <c r="E10" s="126"/>
      <c r="F10" s="173"/>
      <c r="G10" s="127"/>
      <c r="H10" s="140"/>
      <c r="I10" s="138"/>
      <c r="K10" s="198"/>
      <c r="L10" s="199"/>
      <c r="M10" s="226"/>
      <c r="N10" s="226"/>
      <c r="O10" s="226"/>
      <c r="P10" s="223"/>
    </row>
    <row r="11" spans="1:19" x14ac:dyDescent="0.25">
      <c r="A11" s="166" t="s">
        <v>139</v>
      </c>
      <c r="B11" s="167"/>
      <c r="C11" s="168"/>
      <c r="D11" s="125">
        <v>10</v>
      </c>
      <c r="E11" s="126" t="s">
        <v>14</v>
      </c>
      <c r="F11" s="128">
        <v>5</v>
      </c>
      <c r="G11" s="127">
        <f>F11/D11</f>
        <v>0.5</v>
      </c>
      <c r="H11" s="139">
        <v>0.05</v>
      </c>
      <c r="I11" s="137">
        <f>G11*H11</f>
        <v>2.5000000000000001E-2</v>
      </c>
      <c r="K11" s="200" t="s">
        <v>103</v>
      </c>
      <c r="L11" s="201"/>
      <c r="M11" s="226">
        <v>5</v>
      </c>
      <c r="N11" s="226">
        <v>4</v>
      </c>
      <c r="O11" s="226">
        <v>0</v>
      </c>
      <c r="P11" s="223">
        <f>((M11-O11)/SUM(M11:O12))*100</f>
        <v>55.555555555555557</v>
      </c>
    </row>
    <row r="12" spans="1:19" ht="15" customHeight="1" x14ac:dyDescent="0.25">
      <c r="A12" s="169"/>
      <c r="B12" s="170"/>
      <c r="C12" s="171"/>
      <c r="D12" s="125"/>
      <c r="E12" s="126"/>
      <c r="F12" s="128"/>
      <c r="G12" s="127"/>
      <c r="H12" s="140"/>
      <c r="I12" s="138"/>
      <c r="K12" s="200"/>
      <c r="L12" s="201"/>
      <c r="M12" s="226"/>
      <c r="N12" s="226"/>
      <c r="O12" s="226"/>
      <c r="P12" s="223"/>
    </row>
    <row r="13" spans="1:19" x14ac:dyDescent="0.25">
      <c r="A13" s="166" t="s">
        <v>145</v>
      </c>
      <c r="B13" s="167"/>
      <c r="C13" s="168"/>
      <c r="D13" s="125">
        <v>130</v>
      </c>
      <c r="E13" s="126" t="s">
        <v>26</v>
      </c>
      <c r="F13" s="128">
        <v>134</v>
      </c>
      <c r="G13" s="127">
        <f>F13/D13</f>
        <v>1.0307692307692307</v>
      </c>
      <c r="H13" s="216">
        <v>0.1</v>
      </c>
      <c r="I13" s="137">
        <f>G13*H13</f>
        <v>0.10307692307692307</v>
      </c>
      <c r="K13" s="45"/>
      <c r="L13" s="46"/>
      <c r="M13" s="46"/>
      <c r="N13" s="219" t="s">
        <v>106</v>
      </c>
      <c r="O13" s="219"/>
      <c r="P13" s="59">
        <f>P11-P9</f>
        <v>-26.26262626262627</v>
      </c>
      <c r="S13" s="20"/>
    </row>
    <row r="14" spans="1:19" ht="15" customHeight="1" x14ac:dyDescent="0.25">
      <c r="A14" s="169"/>
      <c r="B14" s="170"/>
      <c r="C14" s="171"/>
      <c r="D14" s="125"/>
      <c r="E14" s="126"/>
      <c r="F14" s="128"/>
      <c r="G14" s="127"/>
      <c r="H14" s="216"/>
      <c r="I14" s="138"/>
      <c r="K14" s="220" t="s">
        <v>107</v>
      </c>
      <c r="L14" s="221"/>
      <c r="M14" s="221"/>
      <c r="N14" s="221"/>
      <c r="O14" s="221"/>
      <c r="P14" s="222"/>
    </row>
    <row r="15" spans="1:19" ht="15.75" thickBot="1" x14ac:dyDescent="0.3">
      <c r="A15" s="25"/>
      <c r="B15" s="26"/>
      <c r="C15" s="26"/>
      <c r="D15" s="26"/>
      <c r="E15" s="26"/>
      <c r="F15" s="27"/>
      <c r="G15" s="165" t="s">
        <v>59</v>
      </c>
      <c r="H15" s="165"/>
      <c r="I15" s="58">
        <f>IF(SUM(H5:H14)=1,SUM(I5:I14),"PERCENTAGE ERROR")</f>
        <v>1.0216905832503982</v>
      </c>
      <c r="K15" s="213"/>
      <c r="L15" s="214"/>
      <c r="M15" s="214"/>
      <c r="N15" s="214"/>
      <c r="O15" s="214"/>
      <c r="P15" s="215"/>
    </row>
    <row r="16" spans="1:19" ht="15" customHeight="1" thickBot="1" x14ac:dyDescent="0.3"/>
    <row r="17" spans="1:26" ht="15" customHeight="1" x14ac:dyDescent="0.25">
      <c r="A17" s="51" t="s">
        <v>31</v>
      </c>
      <c r="B17" s="52"/>
      <c r="C17" s="52"/>
      <c r="D17" s="52"/>
      <c r="E17" s="53"/>
      <c r="G17" s="51" t="s">
        <v>91</v>
      </c>
      <c r="H17" s="52"/>
      <c r="I17" s="52"/>
      <c r="J17" s="52"/>
      <c r="K17" s="53"/>
      <c r="M17" s="31" t="s">
        <v>82</v>
      </c>
      <c r="N17" s="35"/>
      <c r="O17" s="32"/>
      <c r="P17" s="32"/>
      <c r="Q17" s="33"/>
      <c r="Z17" s="16"/>
    </row>
    <row r="18" spans="1:26" ht="15.75" customHeight="1" x14ac:dyDescent="0.25">
      <c r="A18" s="47" t="s">
        <v>7</v>
      </c>
      <c r="B18" s="41" t="s">
        <v>8</v>
      </c>
      <c r="C18" s="41" t="s">
        <v>20</v>
      </c>
      <c r="D18" s="41" t="s">
        <v>32</v>
      </c>
      <c r="E18" s="42" t="s">
        <v>33</v>
      </c>
      <c r="F18" s="15"/>
      <c r="G18" s="141" t="s">
        <v>38</v>
      </c>
      <c r="H18" s="142"/>
      <c r="I18" s="143"/>
      <c r="J18" s="147" t="s">
        <v>34</v>
      </c>
      <c r="K18" s="148"/>
      <c r="M18" s="129" t="s">
        <v>94</v>
      </c>
      <c r="N18" s="130"/>
      <c r="O18" s="130"/>
      <c r="P18" s="9">
        <v>1</v>
      </c>
      <c r="Q18" s="23"/>
      <c r="Z18" s="17"/>
    </row>
    <row r="19" spans="1:26" ht="14.25" customHeight="1" x14ac:dyDescent="0.25">
      <c r="A19" s="28" t="s">
        <v>5</v>
      </c>
      <c r="B19" s="111">
        <v>14400</v>
      </c>
      <c r="C19" s="54">
        <f t="shared" ref="C19:C26" si="0">B19/$B$26</f>
        <v>0.2537266095781795</v>
      </c>
      <c r="D19" s="10">
        <v>7500</v>
      </c>
      <c r="E19" s="48">
        <f>(B19-D19)/D19</f>
        <v>0.92</v>
      </c>
      <c r="F19" s="15"/>
      <c r="G19" s="144" t="s">
        <v>51</v>
      </c>
      <c r="H19" s="145"/>
      <c r="I19" s="146"/>
      <c r="J19" s="147" t="s">
        <v>46</v>
      </c>
      <c r="K19" s="148"/>
      <c r="M19" s="45"/>
      <c r="N19" s="46"/>
      <c r="O19" s="46"/>
      <c r="P19" s="46"/>
      <c r="Q19" s="60"/>
    </row>
    <row r="20" spans="1:26" ht="14.25" customHeight="1" x14ac:dyDescent="0.25">
      <c r="A20" s="28" t="s">
        <v>0</v>
      </c>
      <c r="B20" s="114">
        <v>7450</v>
      </c>
      <c r="C20" s="54">
        <f t="shared" si="0"/>
        <v>0.13126828064982204</v>
      </c>
      <c r="D20" s="10">
        <v>3000</v>
      </c>
      <c r="E20" s="48">
        <f t="shared" ref="E20:E26" si="1">(B20-D20)/D20</f>
        <v>1.4833333333333334</v>
      </c>
      <c r="F20" s="15"/>
      <c r="G20" s="144" t="s">
        <v>39</v>
      </c>
      <c r="H20" s="145"/>
      <c r="I20" s="146"/>
      <c r="J20" s="149">
        <v>43101</v>
      </c>
      <c r="K20" s="150"/>
      <c r="M20" s="61" t="s">
        <v>95</v>
      </c>
      <c r="N20" s="46"/>
      <c r="O20" s="46"/>
      <c r="P20" s="46"/>
      <c r="Q20" s="60"/>
    </row>
    <row r="21" spans="1:26" ht="14.25" customHeight="1" x14ac:dyDescent="0.25">
      <c r="A21" s="28" t="s">
        <v>6</v>
      </c>
      <c r="B21" s="114">
        <f>2591+4515</f>
        <v>7106</v>
      </c>
      <c r="C21" s="54">
        <f t="shared" si="0"/>
        <v>0.12520703386545443</v>
      </c>
      <c r="D21" s="10">
        <v>5000</v>
      </c>
      <c r="E21" s="48">
        <f t="shared" si="1"/>
        <v>0.42120000000000002</v>
      </c>
      <c r="F21" s="15"/>
      <c r="G21" s="144" t="s">
        <v>53</v>
      </c>
      <c r="H21" s="145"/>
      <c r="I21" s="146"/>
      <c r="J21" s="151">
        <f>DATEDIF(J20,B43,"m")</f>
        <v>12</v>
      </c>
      <c r="K21" s="152"/>
      <c r="M21" s="157" t="s">
        <v>81</v>
      </c>
      <c r="N21" s="158"/>
      <c r="O21" s="62" t="s">
        <v>79</v>
      </c>
      <c r="P21" s="63" t="s">
        <v>143</v>
      </c>
      <c r="Q21" s="42" t="s">
        <v>74</v>
      </c>
    </row>
    <row r="22" spans="1:26" ht="14.25" customHeight="1" x14ac:dyDescent="0.25">
      <c r="A22" s="28" t="s">
        <v>1</v>
      </c>
      <c r="B22" s="114">
        <v>5000</v>
      </c>
      <c r="C22" s="54">
        <f t="shared" si="0"/>
        <v>8.8099517214645665E-2</v>
      </c>
      <c r="D22" s="10">
        <v>7500</v>
      </c>
      <c r="E22" s="48">
        <f t="shared" si="1"/>
        <v>-0.33333333333333331</v>
      </c>
      <c r="F22" s="15"/>
      <c r="G22" s="144" t="s">
        <v>50</v>
      </c>
      <c r="H22" s="145"/>
      <c r="I22" s="146"/>
      <c r="J22" s="153">
        <f>IF(J18=Lists!A3,Lists!B3*'All Metrics'!J21*4,IF(J18=Lists!A4,Lists!B4*4*'All Metrics'!J21,IF(J18=Lists!A5,Lists!B5*4*'All Metrics'!J21,IF(J18=Lists!A6,Lists!B6*4*'All Metrics'!J21,0))))</f>
        <v>240</v>
      </c>
      <c r="K22" s="154"/>
      <c r="M22" s="129" t="s">
        <v>77</v>
      </c>
      <c r="N22" s="130"/>
      <c r="O22" s="106" t="s">
        <v>83</v>
      </c>
      <c r="P22" s="107" t="s">
        <v>35</v>
      </c>
      <c r="Q22" s="24" t="s">
        <v>85</v>
      </c>
      <c r="S22" s="21"/>
    </row>
    <row r="23" spans="1:26" ht="14.25" customHeight="1" x14ac:dyDescent="0.25">
      <c r="A23" s="28" t="s">
        <v>2</v>
      </c>
      <c r="B23" s="114">
        <v>11785</v>
      </c>
      <c r="C23" s="54">
        <f t="shared" si="0"/>
        <v>0.20765056207491983</v>
      </c>
      <c r="D23" s="10">
        <v>10000</v>
      </c>
      <c r="E23" s="48">
        <f t="shared" si="1"/>
        <v>0.17849999999999999</v>
      </c>
      <c r="F23" s="15"/>
      <c r="G23" s="144" t="s">
        <v>43</v>
      </c>
      <c r="H23" s="145"/>
      <c r="I23" s="146"/>
      <c r="J23" s="155">
        <v>3</v>
      </c>
      <c r="K23" s="156"/>
      <c r="M23" s="129" t="s">
        <v>76</v>
      </c>
      <c r="N23" s="130"/>
      <c r="O23" s="108" t="s">
        <v>35</v>
      </c>
      <c r="P23" s="107" t="s">
        <v>35</v>
      </c>
      <c r="Q23" s="24" t="s">
        <v>85</v>
      </c>
    </row>
    <row r="24" spans="1:26" ht="14.25" customHeight="1" x14ac:dyDescent="0.25">
      <c r="A24" s="28" t="s">
        <v>3</v>
      </c>
      <c r="B24" s="111">
        <v>10500</v>
      </c>
      <c r="C24" s="54">
        <f t="shared" si="0"/>
        <v>0.18500898615075589</v>
      </c>
      <c r="D24" s="10">
        <v>5000</v>
      </c>
      <c r="E24" s="48">
        <f t="shared" si="1"/>
        <v>1.1000000000000001</v>
      </c>
      <c r="F24" s="15"/>
      <c r="G24" s="144" t="s">
        <v>44</v>
      </c>
      <c r="H24" s="145"/>
      <c r="I24" s="146"/>
      <c r="J24" s="155">
        <v>15</v>
      </c>
      <c r="K24" s="156"/>
      <c r="M24" s="129" t="s">
        <v>78</v>
      </c>
      <c r="N24" s="130"/>
      <c r="O24" s="107" t="s">
        <v>83</v>
      </c>
      <c r="P24" s="107" t="s">
        <v>83</v>
      </c>
      <c r="Q24" s="24" t="s">
        <v>85</v>
      </c>
    </row>
    <row r="25" spans="1:26" ht="14.25" customHeight="1" x14ac:dyDescent="0.25">
      <c r="A25" s="28" t="s">
        <v>4</v>
      </c>
      <c r="B25" s="114">
        <v>513</v>
      </c>
      <c r="C25" s="54">
        <f t="shared" si="0"/>
        <v>9.0390104662226457E-3</v>
      </c>
      <c r="D25" s="10">
        <v>1500</v>
      </c>
      <c r="E25" s="48">
        <f t="shared" si="1"/>
        <v>-0.65800000000000003</v>
      </c>
      <c r="F25" s="15"/>
      <c r="G25" s="190" t="s">
        <v>57</v>
      </c>
      <c r="H25" s="191"/>
      <c r="I25" s="192"/>
      <c r="J25" s="217">
        <f>(IF(J19=Lists!A9,Lists!C9*J22,IF(J19=Lists!A10,Lists!C10*J22,IF(J19=Lists!A11,Lists!C11*J22,IF(J19=Lists!A12,Lists!C12*J22,0)))))+(J24*J23*(Lists!C14*8))</f>
        <v>20699.568758984187</v>
      </c>
      <c r="K25" s="218"/>
      <c r="M25" s="129" t="s">
        <v>140</v>
      </c>
      <c r="N25" s="130"/>
      <c r="O25" s="107" t="s">
        <v>35</v>
      </c>
      <c r="P25" s="109" t="s">
        <v>35</v>
      </c>
      <c r="Q25" s="101" t="s">
        <v>85</v>
      </c>
    </row>
    <row r="26" spans="1:26" ht="15.75" thickBot="1" x14ac:dyDescent="0.3">
      <c r="A26" s="50" t="s">
        <v>55</v>
      </c>
      <c r="B26" s="56">
        <f>SUM(B19:B25)</f>
        <v>56754</v>
      </c>
      <c r="C26" s="55">
        <f t="shared" si="0"/>
        <v>1</v>
      </c>
      <c r="D26" s="57">
        <f>SUM(D19:D25)</f>
        <v>39500</v>
      </c>
      <c r="E26" s="49">
        <f t="shared" si="1"/>
        <v>0.43681012658227847</v>
      </c>
      <c r="G26" s="210" t="s">
        <v>54</v>
      </c>
      <c r="H26" s="211"/>
      <c r="I26" s="211"/>
      <c r="J26" s="211"/>
      <c r="K26" s="212"/>
      <c r="M26" s="177" t="s">
        <v>86</v>
      </c>
      <c r="N26" s="180"/>
      <c r="O26" s="181" t="s">
        <v>112</v>
      </c>
      <c r="P26" s="103"/>
      <c r="Q26" s="98"/>
    </row>
    <row r="27" spans="1:26" ht="15" customHeight="1" thickBot="1" x14ac:dyDescent="0.3">
      <c r="G27" s="213"/>
      <c r="H27" s="214"/>
      <c r="I27" s="214"/>
      <c r="J27" s="214"/>
      <c r="K27" s="215"/>
      <c r="M27" s="177"/>
      <c r="N27" s="180"/>
      <c r="O27" s="181"/>
      <c r="P27" s="104">
        <f>IF(P18&gt;=1,(SUM(COUNTIF('All Metrics'!$O22:$O25,{"(3) High","(2) Moderate","(1) Low","(0) NA"})*{3,2,1,0})-SUM(COUNTIF('All Metrics'!P22:P25,{"(3) High","(2) Moderate","(1) Low","(0) NA"})*{3,2,1,0}))/12,"N/A")</f>
        <v>8.3333333333333329E-2</v>
      </c>
      <c r="Q27" s="99" t="str">
        <f>IF(P18&gt;=2,(SUM(COUNTIF('All Metrics'!$O22:$O25,{"(3) High","(2) Moderate","(1) Low","(0) NA"})*{3,2,1,0})-SUM(COUNTIF('All Metrics'!Q22:Q25,{"(3) High","(2) Moderate","(1) Low","(0) NA"})*{3,2,1,0}))/12,"N/A")</f>
        <v>N/A</v>
      </c>
    </row>
    <row r="28" spans="1:26" ht="15.75" thickBot="1" x14ac:dyDescent="0.3">
      <c r="M28" s="45"/>
      <c r="N28" s="46"/>
      <c r="O28" s="46"/>
      <c r="P28" s="46"/>
      <c r="Q28" s="60"/>
    </row>
    <row r="29" spans="1:26" x14ac:dyDescent="0.25">
      <c r="A29" s="64" t="s">
        <v>17</v>
      </c>
      <c r="B29" s="65"/>
      <c r="C29" s="65"/>
      <c r="D29" s="66"/>
      <c r="G29" s="51" t="s">
        <v>93</v>
      </c>
      <c r="H29" s="52"/>
      <c r="I29" s="52"/>
      <c r="J29" s="52"/>
      <c r="K29" s="53"/>
      <c r="M29" s="157" t="s">
        <v>81</v>
      </c>
      <c r="N29" s="158"/>
      <c r="O29" s="62" t="s">
        <v>75</v>
      </c>
      <c r="P29" s="63" t="s">
        <v>96</v>
      </c>
      <c r="Q29" s="42" t="s">
        <v>97</v>
      </c>
    </row>
    <row r="30" spans="1:26" ht="15" customHeight="1" x14ac:dyDescent="0.25">
      <c r="A30" s="67" t="s">
        <v>60</v>
      </c>
      <c r="B30" s="41" t="s">
        <v>15</v>
      </c>
      <c r="C30" s="41" t="s">
        <v>16</v>
      </c>
      <c r="D30" s="42" t="s">
        <v>66</v>
      </c>
      <c r="G30" s="184" t="s">
        <v>56</v>
      </c>
      <c r="H30" s="185"/>
      <c r="I30" s="186"/>
      <c r="J30" s="110">
        <v>134</v>
      </c>
      <c r="K30" s="60"/>
      <c r="M30" s="129" t="s">
        <v>77</v>
      </c>
      <c r="N30" s="130"/>
      <c r="O30" s="18" t="s">
        <v>85</v>
      </c>
      <c r="P30" s="12" t="s">
        <v>85</v>
      </c>
      <c r="Q30" s="24" t="s">
        <v>85</v>
      </c>
    </row>
    <row r="31" spans="1:26" ht="15" customHeight="1" x14ac:dyDescent="0.25">
      <c r="A31" s="29" t="s">
        <v>61</v>
      </c>
      <c r="B31" s="112">
        <v>0</v>
      </c>
      <c r="C31" s="10">
        <f>B31*Lists!B23</f>
        <v>0</v>
      </c>
      <c r="D31" s="73" t="e">
        <f>C31/B31</f>
        <v>#DIV/0!</v>
      </c>
      <c r="G31" s="184" t="s">
        <v>141</v>
      </c>
      <c r="H31" s="185"/>
      <c r="I31" s="186"/>
      <c r="J31" s="110">
        <v>80</v>
      </c>
      <c r="K31" s="60"/>
      <c r="M31" s="129" t="s">
        <v>76</v>
      </c>
      <c r="N31" s="130"/>
      <c r="O31" s="19" t="s">
        <v>85</v>
      </c>
      <c r="P31" s="12" t="s">
        <v>85</v>
      </c>
      <c r="Q31" s="24" t="s">
        <v>85</v>
      </c>
    </row>
    <row r="32" spans="1:26" ht="15" customHeight="1" x14ac:dyDescent="0.25">
      <c r="A32" s="29" t="s">
        <v>62</v>
      </c>
      <c r="B32" s="113">
        <v>6</v>
      </c>
      <c r="C32" s="10">
        <f>B32*Lists!B24</f>
        <v>126000</v>
      </c>
      <c r="D32" s="73">
        <f t="shared" ref="D32:D35" si="2">C32/B32</f>
        <v>21000</v>
      </c>
      <c r="G32" s="187" t="s">
        <v>58</v>
      </c>
      <c r="H32" s="188"/>
      <c r="I32" s="189"/>
      <c r="J32" s="80">
        <f>J31/J30</f>
        <v>0.59701492537313428</v>
      </c>
      <c r="K32" s="60"/>
      <c r="M32" s="129" t="s">
        <v>78</v>
      </c>
      <c r="N32" s="130"/>
      <c r="O32" s="12" t="s">
        <v>85</v>
      </c>
      <c r="P32" s="12" t="s">
        <v>85</v>
      </c>
      <c r="Q32" s="24" t="s">
        <v>85</v>
      </c>
    </row>
    <row r="33" spans="1:17" ht="15" customHeight="1" x14ac:dyDescent="0.25">
      <c r="A33" s="29" t="s">
        <v>63</v>
      </c>
      <c r="B33" s="113">
        <v>6</v>
      </c>
      <c r="C33" s="10">
        <f>B33*Lists!B25</f>
        <v>66000</v>
      </c>
      <c r="D33" s="73">
        <f t="shared" si="2"/>
        <v>11000</v>
      </c>
      <c r="G33" s="144" t="s">
        <v>72</v>
      </c>
      <c r="H33" s="145"/>
      <c r="I33" s="146"/>
      <c r="J33" s="110">
        <v>5292</v>
      </c>
      <c r="K33" s="60"/>
      <c r="M33" s="129" t="s">
        <v>140</v>
      </c>
      <c r="N33" s="130"/>
      <c r="O33" s="100" t="s">
        <v>85</v>
      </c>
      <c r="P33" s="100" t="s">
        <v>85</v>
      </c>
      <c r="Q33" s="101" t="s">
        <v>85</v>
      </c>
    </row>
    <row r="34" spans="1:17" x14ac:dyDescent="0.25">
      <c r="A34" s="29" t="s">
        <v>64</v>
      </c>
      <c r="B34" s="113">
        <v>6</v>
      </c>
      <c r="C34" s="10">
        <f>B34*Lists!B26</f>
        <v>30000</v>
      </c>
      <c r="D34" s="73">
        <f t="shared" si="2"/>
        <v>5000</v>
      </c>
      <c r="G34" s="190" t="s">
        <v>73</v>
      </c>
      <c r="H34" s="191"/>
      <c r="I34" s="192"/>
      <c r="J34" s="80">
        <f>J30/J33</f>
        <v>2.5321239606953892E-2</v>
      </c>
      <c r="K34" s="60"/>
      <c r="M34" s="177" t="s">
        <v>86</v>
      </c>
      <c r="N34" s="178"/>
      <c r="O34" s="103"/>
      <c r="P34" s="103"/>
      <c r="Q34" s="98"/>
    </row>
    <row r="35" spans="1:17" x14ac:dyDescent="0.25">
      <c r="A35" s="29" t="s">
        <v>65</v>
      </c>
      <c r="B35" s="113">
        <v>18</v>
      </c>
      <c r="C35" s="10">
        <f>B35*Lists!B27</f>
        <v>27000</v>
      </c>
      <c r="D35" s="73">
        <f t="shared" si="2"/>
        <v>1500</v>
      </c>
      <c r="G35" s="45"/>
      <c r="H35" s="46"/>
      <c r="I35" s="46"/>
      <c r="J35" s="46"/>
      <c r="K35" s="60"/>
      <c r="M35" s="177"/>
      <c r="N35" s="178"/>
      <c r="O35" s="104" t="str">
        <f>IF($P$18&gt;=3,(SUM(COUNTIF('All Metrics'!$O22:$O25,{"(3) High","(2) Moderate","(1) Low","(0) NA"})*{3,2,1,0})-SUM(COUNTIF('All Metrics'!O30:O33,{"(3) High","(2) Moderate","(1) Low","(0) NA"})*{3,2,1,0}))/12,"N/A")</f>
        <v>N/A</v>
      </c>
      <c r="P35" s="104" t="str">
        <f>IF($P$18&gt;=4,(SUM(COUNTIF('All Metrics'!$O22:$O25,{"(3) High","(2) Moderate","(1) Low","(0) NA"})*{3,2,1,0})-SUM(COUNTIF('All Metrics'!P30:P33,{"(3) High","(2) Moderate","(1) Low","(0) NA"})*{3,2,1,0}))/12,"N/A")</f>
        <v>N/A</v>
      </c>
      <c r="Q35" s="99" t="str">
        <f>IF($P$18=5,(SUM(COUNTIF('All Metrics'!$O22:$O25,{"(3) High","(2) Moderate","(1) Low","(0) NA"})*{3,2,1,0})-SUM(COUNTIF('All Metrics'!Q30:Q33,{"(3) High","(2) Moderate","(1) Low","(0) NA"})*{3,2,1,0}))/12,"N/A")</f>
        <v>N/A</v>
      </c>
    </row>
    <row r="36" spans="1:17" ht="15" customHeight="1" x14ac:dyDescent="0.25">
      <c r="A36" s="68" t="s">
        <v>71</v>
      </c>
      <c r="B36" s="113">
        <v>98</v>
      </c>
      <c r="C36" s="159"/>
      <c r="D36" s="160"/>
      <c r="G36" s="174" t="s">
        <v>99</v>
      </c>
      <c r="H36" s="175"/>
      <c r="I36" s="176"/>
      <c r="J36" s="22" t="s">
        <v>100</v>
      </c>
      <c r="K36" s="42" t="s">
        <v>20</v>
      </c>
      <c r="M36" s="157" t="s">
        <v>98</v>
      </c>
      <c r="N36" s="158"/>
      <c r="O36" s="179"/>
      <c r="P36" s="179"/>
      <c r="Q36" s="102">
        <f>IF(P18=5,AVERAGE(P27,Q27,O35,P35,Q35),IF(P18=4,AVERAGE(P27,Q27,O35,P35),IF(P18=3,AVERAGE(P27,Q27,O35),IF(P18=2,AVERAGE(P27,Q27),IF(P18=1,P27,0)))))</f>
        <v>8.3333333333333329E-2</v>
      </c>
    </row>
    <row r="37" spans="1:17" ht="15.75" customHeight="1" x14ac:dyDescent="0.25">
      <c r="A37" s="69" t="s">
        <v>18</v>
      </c>
      <c r="B37" s="13">
        <v>0</v>
      </c>
      <c r="C37" s="161"/>
      <c r="D37" s="162"/>
      <c r="G37" s="196" t="s">
        <v>108</v>
      </c>
      <c r="H37" s="202"/>
      <c r="I37" s="197"/>
      <c r="J37" s="207">
        <v>81</v>
      </c>
      <c r="K37" s="193">
        <f>J37/SUM(B38:B39)</f>
        <v>0.60447761194029848</v>
      </c>
      <c r="M37" s="131" t="s">
        <v>87</v>
      </c>
      <c r="N37" s="132"/>
      <c r="O37" s="132"/>
      <c r="P37" s="132"/>
      <c r="Q37" s="133"/>
    </row>
    <row r="38" spans="1:17" ht="15" customHeight="1" x14ac:dyDescent="0.25">
      <c r="A38" s="70" t="s">
        <v>67</v>
      </c>
      <c r="B38" s="74">
        <f>SUM(B31:B35)</f>
        <v>36</v>
      </c>
      <c r="C38" s="75">
        <f>SUM(C31:C35)</f>
        <v>249000</v>
      </c>
      <c r="D38" s="76">
        <f>C38/B38</f>
        <v>6916.666666666667</v>
      </c>
      <c r="G38" s="198"/>
      <c r="H38" s="203"/>
      <c r="I38" s="199"/>
      <c r="J38" s="208"/>
      <c r="K38" s="194"/>
      <c r="M38" s="131"/>
      <c r="N38" s="132"/>
      <c r="O38" s="132"/>
      <c r="P38" s="132"/>
      <c r="Q38" s="133"/>
    </row>
    <row r="39" spans="1:17" ht="15" customHeight="1" x14ac:dyDescent="0.25">
      <c r="A39" s="70" t="s">
        <v>68</v>
      </c>
      <c r="B39" s="77">
        <f>B36</f>
        <v>98</v>
      </c>
      <c r="C39" s="163"/>
      <c r="D39" s="164"/>
      <c r="G39" s="196" t="s">
        <v>109</v>
      </c>
      <c r="H39" s="202"/>
      <c r="I39" s="197"/>
      <c r="J39" s="207">
        <v>28</v>
      </c>
      <c r="K39" s="193">
        <f>J39/SUM(J30)</f>
        <v>0.20895522388059701</v>
      </c>
      <c r="M39" s="131"/>
      <c r="N39" s="132"/>
      <c r="O39" s="132"/>
      <c r="P39" s="132"/>
      <c r="Q39" s="133"/>
    </row>
    <row r="40" spans="1:17" ht="15.75" thickBot="1" x14ac:dyDescent="0.3">
      <c r="A40" s="71" t="s">
        <v>69</v>
      </c>
      <c r="B40" s="78">
        <f>C38-(B26+J25)</f>
        <v>171546.43124101582</v>
      </c>
      <c r="C40" s="79">
        <f>(C38-(B26+J25))/(B26+J25)</f>
        <v>2.2148292711317756</v>
      </c>
      <c r="D40" s="72"/>
      <c r="G40" s="204"/>
      <c r="H40" s="205"/>
      <c r="I40" s="206"/>
      <c r="J40" s="209"/>
      <c r="K40" s="195"/>
      <c r="M40" s="134"/>
      <c r="N40" s="135"/>
      <c r="O40" s="135"/>
      <c r="P40" s="135"/>
      <c r="Q40" s="136"/>
    </row>
    <row r="41" spans="1:17" ht="15.75" thickBot="1" x14ac:dyDescent="0.3"/>
    <row r="42" spans="1:17" x14ac:dyDescent="0.25">
      <c r="A42" s="51" t="s">
        <v>90</v>
      </c>
      <c r="B42" s="52"/>
      <c r="C42" s="52"/>
      <c r="D42" s="52"/>
      <c r="E42" s="52"/>
      <c r="F42" s="52"/>
      <c r="G42" s="52"/>
      <c r="H42" s="52"/>
      <c r="I42" s="52"/>
      <c r="J42" s="52"/>
      <c r="K42" s="52"/>
      <c r="L42" s="52"/>
      <c r="M42" s="52"/>
      <c r="N42" s="52"/>
      <c r="O42" s="52"/>
      <c r="P42" s="53"/>
    </row>
    <row r="43" spans="1:17" x14ac:dyDescent="0.25">
      <c r="A43" s="81" t="s">
        <v>21</v>
      </c>
      <c r="B43" s="14">
        <v>43494</v>
      </c>
      <c r="C43" s="46"/>
      <c r="D43" s="46"/>
      <c r="E43" s="46"/>
      <c r="F43" s="46"/>
      <c r="G43" s="46"/>
      <c r="H43" s="46"/>
      <c r="I43" s="46"/>
      <c r="J43" s="46"/>
      <c r="K43" s="46"/>
      <c r="L43" s="46"/>
      <c r="M43" s="46"/>
      <c r="N43" s="46"/>
      <c r="O43" s="46"/>
      <c r="P43" s="60"/>
    </row>
    <row r="44" spans="1:17" x14ac:dyDescent="0.25">
      <c r="A44" s="81" t="s">
        <v>22</v>
      </c>
      <c r="B44" s="82">
        <v>30</v>
      </c>
      <c r="C44" s="82">
        <v>60</v>
      </c>
      <c r="D44" s="82">
        <v>90</v>
      </c>
      <c r="E44" s="82">
        <v>120</v>
      </c>
      <c r="F44" s="82">
        <v>150</v>
      </c>
      <c r="G44" s="82">
        <v>180</v>
      </c>
      <c r="H44" s="82">
        <v>210</v>
      </c>
      <c r="I44" s="82">
        <v>240</v>
      </c>
      <c r="J44" s="82">
        <v>270</v>
      </c>
      <c r="K44" s="82">
        <v>300</v>
      </c>
      <c r="L44" s="82">
        <v>330</v>
      </c>
      <c r="M44" s="82">
        <v>360</v>
      </c>
      <c r="N44" s="82">
        <v>390</v>
      </c>
      <c r="O44" s="82">
        <v>420</v>
      </c>
      <c r="P44" s="83">
        <v>450</v>
      </c>
      <c r="Q44" s="11"/>
    </row>
    <row r="45" spans="1:17" x14ac:dyDescent="0.25">
      <c r="A45" s="81" t="s">
        <v>70</v>
      </c>
      <c r="B45" s="84">
        <f>$B$43+B44</f>
        <v>43524</v>
      </c>
      <c r="C45" s="84">
        <f t="shared" ref="C45:P45" si="3">$B$43+C44</f>
        <v>43554</v>
      </c>
      <c r="D45" s="84">
        <f t="shared" si="3"/>
        <v>43584</v>
      </c>
      <c r="E45" s="84">
        <f t="shared" si="3"/>
        <v>43614</v>
      </c>
      <c r="F45" s="84">
        <f t="shared" si="3"/>
        <v>43644</v>
      </c>
      <c r="G45" s="84">
        <f t="shared" si="3"/>
        <v>43674</v>
      </c>
      <c r="H45" s="84">
        <f t="shared" si="3"/>
        <v>43704</v>
      </c>
      <c r="I45" s="84">
        <f t="shared" si="3"/>
        <v>43734</v>
      </c>
      <c r="J45" s="84">
        <f t="shared" si="3"/>
        <v>43764</v>
      </c>
      <c r="K45" s="84">
        <f t="shared" si="3"/>
        <v>43794</v>
      </c>
      <c r="L45" s="84">
        <f t="shared" si="3"/>
        <v>43824</v>
      </c>
      <c r="M45" s="84">
        <f t="shared" si="3"/>
        <v>43854</v>
      </c>
      <c r="N45" s="84">
        <f t="shared" si="3"/>
        <v>43884</v>
      </c>
      <c r="O45" s="84">
        <f t="shared" si="3"/>
        <v>43914</v>
      </c>
      <c r="P45" s="85">
        <f t="shared" si="3"/>
        <v>43944</v>
      </c>
    </row>
    <row r="46" spans="1:17" x14ac:dyDescent="0.25">
      <c r="A46" s="81" t="s">
        <v>23</v>
      </c>
      <c r="B46" s="10">
        <v>0</v>
      </c>
      <c r="C46" s="10">
        <v>0</v>
      </c>
      <c r="D46" s="10">
        <v>0</v>
      </c>
      <c r="E46" s="10">
        <v>0</v>
      </c>
      <c r="F46" s="10">
        <v>0</v>
      </c>
      <c r="G46" s="10">
        <v>0</v>
      </c>
      <c r="H46" s="10">
        <v>0</v>
      </c>
      <c r="I46" s="10">
        <v>0</v>
      </c>
      <c r="J46" s="10">
        <v>0</v>
      </c>
      <c r="K46" s="10">
        <v>0</v>
      </c>
      <c r="L46" s="10">
        <v>0</v>
      </c>
      <c r="M46" s="10">
        <v>0</v>
      </c>
      <c r="N46" s="10">
        <v>0</v>
      </c>
      <c r="O46" s="10">
        <v>0</v>
      </c>
      <c r="P46" s="30">
        <v>0</v>
      </c>
    </row>
    <row r="47" spans="1:17" x14ac:dyDescent="0.25">
      <c r="A47" s="81" t="s">
        <v>24</v>
      </c>
      <c r="B47" s="86">
        <f>B46</f>
        <v>0</v>
      </c>
      <c r="C47" s="86">
        <f>C46+B47</f>
        <v>0</v>
      </c>
      <c r="D47" s="86">
        <f t="shared" ref="D47:P47" si="4">D46+C47</f>
        <v>0</v>
      </c>
      <c r="E47" s="86">
        <f t="shared" si="4"/>
        <v>0</v>
      </c>
      <c r="F47" s="86">
        <f t="shared" si="4"/>
        <v>0</v>
      </c>
      <c r="G47" s="86">
        <f t="shared" si="4"/>
        <v>0</v>
      </c>
      <c r="H47" s="86">
        <f t="shared" si="4"/>
        <v>0</v>
      </c>
      <c r="I47" s="86">
        <f t="shared" si="4"/>
        <v>0</v>
      </c>
      <c r="J47" s="86">
        <f>J46+I47</f>
        <v>0</v>
      </c>
      <c r="K47" s="86">
        <f t="shared" si="4"/>
        <v>0</v>
      </c>
      <c r="L47" s="86">
        <f t="shared" si="4"/>
        <v>0</v>
      </c>
      <c r="M47" s="86">
        <f t="shared" si="4"/>
        <v>0</v>
      </c>
      <c r="N47" s="86">
        <f t="shared" si="4"/>
        <v>0</v>
      </c>
      <c r="O47" s="86">
        <f t="shared" si="4"/>
        <v>0</v>
      </c>
      <c r="P47" s="87">
        <f t="shared" si="4"/>
        <v>0</v>
      </c>
    </row>
    <row r="48" spans="1:17" x14ac:dyDescent="0.25">
      <c r="A48" s="47" t="s">
        <v>88</v>
      </c>
      <c r="B48" s="88">
        <f t="shared" ref="B48:P48" si="5">(B47-($J$25+$B$26))</f>
        <v>-77453.568758984184</v>
      </c>
      <c r="C48" s="88">
        <f t="shared" si="5"/>
        <v>-77453.568758984184</v>
      </c>
      <c r="D48" s="88">
        <f t="shared" si="5"/>
        <v>-77453.568758984184</v>
      </c>
      <c r="E48" s="88">
        <f t="shared" si="5"/>
        <v>-77453.568758984184</v>
      </c>
      <c r="F48" s="88">
        <f t="shared" si="5"/>
        <v>-77453.568758984184</v>
      </c>
      <c r="G48" s="88">
        <f t="shared" si="5"/>
        <v>-77453.568758984184</v>
      </c>
      <c r="H48" s="88">
        <f t="shared" si="5"/>
        <v>-77453.568758984184</v>
      </c>
      <c r="I48" s="88">
        <f t="shared" si="5"/>
        <v>-77453.568758984184</v>
      </c>
      <c r="J48" s="88">
        <f t="shared" si="5"/>
        <v>-77453.568758984184</v>
      </c>
      <c r="K48" s="88">
        <f t="shared" si="5"/>
        <v>-77453.568758984184</v>
      </c>
      <c r="L48" s="88">
        <f t="shared" si="5"/>
        <v>-77453.568758984184</v>
      </c>
      <c r="M48" s="88">
        <f t="shared" si="5"/>
        <v>-77453.568758984184</v>
      </c>
      <c r="N48" s="88">
        <f t="shared" si="5"/>
        <v>-77453.568758984184</v>
      </c>
      <c r="O48" s="88">
        <f t="shared" si="5"/>
        <v>-77453.568758984184</v>
      </c>
      <c r="P48" s="89">
        <f t="shared" si="5"/>
        <v>-77453.568758984184</v>
      </c>
    </row>
    <row r="49" spans="1:16" ht="15.75" thickBot="1" x14ac:dyDescent="0.3">
      <c r="A49" s="71" t="s">
        <v>89</v>
      </c>
      <c r="B49" s="79">
        <f t="shared" ref="B49:P49" si="6">B48/($B$26+$J25)</f>
        <v>-1</v>
      </c>
      <c r="C49" s="79">
        <f t="shared" si="6"/>
        <v>-1</v>
      </c>
      <c r="D49" s="79">
        <f t="shared" si="6"/>
        <v>-1</v>
      </c>
      <c r="E49" s="79">
        <f t="shared" si="6"/>
        <v>-1</v>
      </c>
      <c r="F49" s="79">
        <f t="shared" si="6"/>
        <v>-1</v>
      </c>
      <c r="G49" s="79">
        <f t="shared" si="6"/>
        <v>-1</v>
      </c>
      <c r="H49" s="79">
        <f t="shared" si="6"/>
        <v>-1</v>
      </c>
      <c r="I49" s="79">
        <f t="shared" si="6"/>
        <v>-1</v>
      </c>
      <c r="J49" s="79">
        <f t="shared" si="6"/>
        <v>-1</v>
      </c>
      <c r="K49" s="79">
        <f t="shared" si="6"/>
        <v>-1</v>
      </c>
      <c r="L49" s="79">
        <f t="shared" si="6"/>
        <v>-1</v>
      </c>
      <c r="M49" s="79">
        <f t="shared" si="6"/>
        <v>-1</v>
      </c>
      <c r="N49" s="79">
        <f t="shared" si="6"/>
        <v>-1</v>
      </c>
      <c r="O49" s="79">
        <f t="shared" si="6"/>
        <v>-1</v>
      </c>
      <c r="P49" s="90">
        <f t="shared" si="6"/>
        <v>-1</v>
      </c>
    </row>
  </sheetData>
  <mergeCells count="98">
    <mergeCell ref="N13:O13"/>
    <mergeCell ref="K14:P15"/>
    <mergeCell ref="P9:P10"/>
    <mergeCell ref="P11:P12"/>
    <mergeCell ref="K7:L7"/>
    <mergeCell ref="M9:M10"/>
    <mergeCell ref="N9:N10"/>
    <mergeCell ref="O9:O10"/>
    <mergeCell ref="M11:M12"/>
    <mergeCell ref="N11:N12"/>
    <mergeCell ref="O11:O12"/>
    <mergeCell ref="K37:K38"/>
    <mergeCell ref="K39:K40"/>
    <mergeCell ref="K9:L10"/>
    <mergeCell ref="K11:L12"/>
    <mergeCell ref="G37:I38"/>
    <mergeCell ref="G39:I40"/>
    <mergeCell ref="J37:J38"/>
    <mergeCell ref="J39:J40"/>
    <mergeCell ref="G36:I36"/>
    <mergeCell ref="G34:I34"/>
    <mergeCell ref="G26:K27"/>
    <mergeCell ref="H11:H12"/>
    <mergeCell ref="I11:I12"/>
    <mergeCell ref="H13:H14"/>
    <mergeCell ref="I13:I14"/>
    <mergeCell ref="J25:K25"/>
    <mergeCell ref="M34:N35"/>
    <mergeCell ref="M36:P36"/>
    <mergeCell ref="M26:N27"/>
    <mergeCell ref="O26:O27"/>
    <mergeCell ref="A3:D3"/>
    <mergeCell ref="M29:N29"/>
    <mergeCell ref="M30:N30"/>
    <mergeCell ref="M31:N31"/>
    <mergeCell ref="M32:N32"/>
    <mergeCell ref="M33:N33"/>
    <mergeCell ref="G30:I30"/>
    <mergeCell ref="G31:I31"/>
    <mergeCell ref="G32:I32"/>
    <mergeCell ref="G33:I33"/>
    <mergeCell ref="G24:I24"/>
    <mergeCell ref="G25:I25"/>
    <mergeCell ref="A4:C4"/>
    <mergeCell ref="A5:C6"/>
    <mergeCell ref="A7:C8"/>
    <mergeCell ref="A9:C10"/>
    <mergeCell ref="A11:C12"/>
    <mergeCell ref="H5:H6"/>
    <mergeCell ref="I5:I6"/>
    <mergeCell ref="C36:D37"/>
    <mergeCell ref="C39:D39"/>
    <mergeCell ref="G15:H15"/>
    <mergeCell ref="G22:I22"/>
    <mergeCell ref="G23:I23"/>
    <mergeCell ref="D13:D14"/>
    <mergeCell ref="E13:E14"/>
    <mergeCell ref="F13:F14"/>
    <mergeCell ref="G13:G14"/>
    <mergeCell ref="A13:C14"/>
    <mergeCell ref="D9:D10"/>
    <mergeCell ref="E9:E10"/>
    <mergeCell ref="F9:F10"/>
    <mergeCell ref="G9:G10"/>
    <mergeCell ref="J19:K19"/>
    <mergeCell ref="M21:N21"/>
    <mergeCell ref="M22:N22"/>
    <mergeCell ref="M23:N23"/>
    <mergeCell ref="M24:N24"/>
    <mergeCell ref="J24:K24"/>
    <mergeCell ref="M25:N25"/>
    <mergeCell ref="M37:Q40"/>
    <mergeCell ref="I7:I8"/>
    <mergeCell ref="H9:H10"/>
    <mergeCell ref="I9:I10"/>
    <mergeCell ref="H7:H8"/>
    <mergeCell ref="M18:O18"/>
    <mergeCell ref="G18:I18"/>
    <mergeCell ref="G19:I19"/>
    <mergeCell ref="G20:I20"/>
    <mergeCell ref="G21:I21"/>
    <mergeCell ref="J18:K18"/>
    <mergeCell ref="J20:K20"/>
    <mergeCell ref="J21:K21"/>
    <mergeCell ref="J22:K22"/>
    <mergeCell ref="J23:K23"/>
    <mergeCell ref="D11:D12"/>
    <mergeCell ref="E11:E12"/>
    <mergeCell ref="F11:F12"/>
    <mergeCell ref="G11:G12"/>
    <mergeCell ref="D5:D6"/>
    <mergeCell ref="E5:E6"/>
    <mergeCell ref="F5:F6"/>
    <mergeCell ref="G5:G6"/>
    <mergeCell ref="D7:D8"/>
    <mergeCell ref="E7:E8"/>
    <mergeCell ref="F7:F8"/>
    <mergeCell ref="G7:G8"/>
  </mergeCells>
  <conditionalFormatting sqref="E19:E26">
    <cfRule type="cellIs" dxfId="2" priority="2" operator="lessThanOrEqual">
      <formula>0</formula>
    </cfRule>
    <cfRule type="cellIs" dxfId="1" priority="3" operator="greaterThan">
      <formula>0</formula>
    </cfRule>
  </conditionalFormatting>
  <conditionalFormatting sqref="H3">
    <cfRule type="cellIs" dxfId="0" priority="1" operator="notEqual">
      <formula>1</formula>
    </cfRule>
  </conditionalFormatting>
  <dataValidations count="1">
    <dataValidation type="date" allowBlank="1" showInputMessage="1" showErrorMessage="1" sqref="J20" xr:uid="{E261BAF1-B361-4794-9A21-A84942280278}">
      <formula1>42370</formula1>
      <formula2>55153</formula2>
    </dataValidation>
  </dataValidations>
  <pageMargins left="0.7" right="0.7" top="0.75" bottom="0.75" header="0.3" footer="0.3"/>
  <pageSetup paperSize="5" scale="68"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3A810FA7-2E0C-42B4-B0E7-8F94B7C7CF0B}">
          <x14:formula1>
            <xm:f>Lists!$A$3:$A$6</xm:f>
          </x14:formula1>
          <xm:sqref>J18</xm:sqref>
        </x14:dataValidation>
        <x14:dataValidation type="list" allowBlank="1" showInputMessage="1" showErrorMessage="1" xr:uid="{E32A7EF2-B9F2-4F09-962D-50AEEBB0C822}">
          <x14:formula1>
            <xm:f>Lists!$A$9:$A$12</xm:f>
          </x14:formula1>
          <xm:sqref>J19:K19</xm:sqref>
        </x14:dataValidation>
        <x14:dataValidation type="list" allowBlank="1" showInputMessage="1" showErrorMessage="1" xr:uid="{858C06C9-6E79-4F1A-8563-FDDAD874F17F}">
          <x14:formula1>
            <xm:f>Lists!$A$17:$A$20</xm:f>
          </x14:formula1>
          <xm:sqref>O22:Q25 O30:Q33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E5784-0DBD-4599-B6B3-766B4450F572}">
  <dimension ref="A1:F27"/>
  <sheetViews>
    <sheetView workbookViewId="0">
      <selection activeCell="B26" sqref="B26"/>
    </sheetView>
  </sheetViews>
  <sheetFormatPr defaultRowHeight="15" x14ac:dyDescent="0.25"/>
  <cols>
    <col min="1" max="1" width="13.7109375" customWidth="1"/>
    <col min="2" max="2" width="12.5703125" bestFit="1" customWidth="1"/>
  </cols>
  <sheetData>
    <row r="1" spans="1:3" x14ac:dyDescent="0.25">
      <c r="A1" s="1" t="s">
        <v>40</v>
      </c>
    </row>
    <row r="2" spans="1:3" x14ac:dyDescent="0.25">
      <c r="A2" s="1" t="s">
        <v>41</v>
      </c>
      <c r="B2" s="1" t="s">
        <v>42</v>
      </c>
    </row>
    <row r="3" spans="1:3" x14ac:dyDescent="0.25">
      <c r="A3" s="4" t="s">
        <v>34</v>
      </c>
      <c r="B3">
        <v>5</v>
      </c>
    </row>
    <row r="4" spans="1:3" x14ac:dyDescent="0.25">
      <c r="A4" s="4" t="s">
        <v>35</v>
      </c>
      <c r="B4">
        <v>3</v>
      </c>
    </row>
    <row r="5" spans="1:3" x14ac:dyDescent="0.25">
      <c r="A5" s="4" t="s">
        <v>37</v>
      </c>
      <c r="B5">
        <v>1</v>
      </c>
    </row>
    <row r="6" spans="1:3" x14ac:dyDescent="0.25">
      <c r="A6" s="4" t="s">
        <v>36</v>
      </c>
      <c r="B6">
        <v>0.5</v>
      </c>
    </row>
    <row r="8" spans="1:3" x14ac:dyDescent="0.25">
      <c r="A8" s="1" t="s">
        <v>45</v>
      </c>
    </row>
    <row r="9" spans="1:3" x14ac:dyDescent="0.25">
      <c r="A9" t="s">
        <v>46</v>
      </c>
      <c r="B9" s="2">
        <v>60000</v>
      </c>
      <c r="C9" s="5">
        <f>B9/2087</f>
        <v>28.749401054144705</v>
      </c>
    </row>
    <row r="10" spans="1:3" x14ac:dyDescent="0.25">
      <c r="A10" t="s">
        <v>47</v>
      </c>
      <c r="B10" s="2">
        <v>80000</v>
      </c>
      <c r="C10" s="5">
        <f t="shared" ref="C10:C12" si="0">B10/2087</f>
        <v>38.332534738859607</v>
      </c>
    </row>
    <row r="11" spans="1:3" x14ac:dyDescent="0.25">
      <c r="A11" t="s">
        <v>48</v>
      </c>
      <c r="B11" s="2">
        <v>150000</v>
      </c>
      <c r="C11" s="5">
        <f t="shared" si="0"/>
        <v>71.87350263536176</v>
      </c>
    </row>
    <row r="12" spans="1:3" x14ac:dyDescent="0.25">
      <c r="A12" t="s">
        <v>49</v>
      </c>
      <c r="B12" s="2">
        <v>0</v>
      </c>
      <c r="C12" s="5">
        <f t="shared" si="0"/>
        <v>0</v>
      </c>
    </row>
    <row r="14" spans="1:3" x14ac:dyDescent="0.25">
      <c r="A14" t="s">
        <v>52</v>
      </c>
      <c r="B14" s="6">
        <v>80000</v>
      </c>
      <c r="C14" s="7">
        <f>B14/2087</f>
        <v>38.332534738859607</v>
      </c>
    </row>
    <row r="16" spans="1:3" x14ac:dyDescent="0.25">
      <c r="A16" s="1" t="s">
        <v>80</v>
      </c>
    </row>
    <row r="17" spans="1:6" x14ac:dyDescent="0.25">
      <c r="A17" t="s">
        <v>83</v>
      </c>
      <c r="B17">
        <v>3</v>
      </c>
      <c r="E17" s="3"/>
      <c r="F17" s="3"/>
    </row>
    <row r="18" spans="1:6" x14ac:dyDescent="0.25">
      <c r="A18" t="s">
        <v>35</v>
      </c>
      <c r="B18">
        <v>2</v>
      </c>
    </row>
    <row r="19" spans="1:6" x14ac:dyDescent="0.25">
      <c r="A19" t="s">
        <v>84</v>
      </c>
      <c r="B19">
        <v>1</v>
      </c>
    </row>
    <row r="20" spans="1:6" x14ac:dyDescent="0.25">
      <c r="A20" t="s">
        <v>85</v>
      </c>
      <c r="B20">
        <v>0</v>
      </c>
    </row>
    <row r="22" spans="1:6" x14ac:dyDescent="0.25">
      <c r="A22" s="1" t="s">
        <v>142</v>
      </c>
    </row>
    <row r="23" spans="1:6" x14ac:dyDescent="0.25">
      <c r="A23" s="12" t="s">
        <v>61</v>
      </c>
      <c r="B23" s="105">
        <v>50000</v>
      </c>
    </row>
    <row r="24" spans="1:6" x14ac:dyDescent="0.25">
      <c r="A24" s="12" t="s">
        <v>62</v>
      </c>
      <c r="B24" s="105">
        <v>21000</v>
      </c>
    </row>
    <row r="25" spans="1:6" x14ac:dyDescent="0.25">
      <c r="A25" s="12" t="s">
        <v>63</v>
      </c>
      <c r="B25" s="105">
        <v>11000</v>
      </c>
    </row>
    <row r="26" spans="1:6" x14ac:dyDescent="0.25">
      <c r="A26" s="12" t="s">
        <v>64</v>
      </c>
      <c r="B26" s="105">
        <v>5000</v>
      </c>
    </row>
    <row r="27" spans="1:6" x14ac:dyDescent="0.25">
      <c r="A27" s="12" t="s">
        <v>65</v>
      </c>
      <c r="B27" s="105">
        <v>1500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Event Scorecard</vt:lpstr>
      <vt:lpstr>All Metrics</vt:lpstr>
      <vt:lpstr>Lists</vt:lpstr>
      <vt:lpstr>'All Metrics'!Print_Area</vt:lpstr>
      <vt:lpstr>'Event Scorecard'!Print_Area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Panzer</dc:creator>
  <cp:lastModifiedBy>Justin Panzer</cp:lastModifiedBy>
  <cp:lastPrinted>2018-10-09T18:53:19Z</cp:lastPrinted>
  <dcterms:created xsi:type="dcterms:W3CDTF">2018-10-02T15:30:04Z</dcterms:created>
  <dcterms:modified xsi:type="dcterms:W3CDTF">2019-02-14T19:17:59Z</dcterms:modified>
</cp:coreProperties>
</file>